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4"/>
  </bookViews>
  <sheets>
    <sheet name="ŠK KUHINJA" sheetId="1" r:id="rId1"/>
    <sheet name="UREDSKI MAT" sheetId="2" r:id="rId2"/>
    <sheet name="USLUGE" sheetId="3" r:id="rId3"/>
    <sheet name="SREDSTVA ZA ČIŠĆENJE" sheetId="4" r:id="rId4"/>
    <sheet name="SKRAĆENA VERZIJA" sheetId="5" r:id="rId5"/>
  </sheets>
  <definedNames/>
  <calcPr fullCalcOnLoad="1"/>
</workbook>
</file>

<file path=xl/comments2.xml><?xml version="1.0" encoding="utf-8"?>
<comments xmlns="http://schemas.openxmlformats.org/spreadsheetml/2006/main">
  <authors>
    <author>Diana</author>
  </authors>
  <commentList>
    <comment ref="D15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PROSJEK 55 DJELATNIKA, SVATKO PO DVIJE OLOVKE</t>
        </r>
      </text>
    </comment>
    <comment ref="H1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PROSJEK - MALA 40 VELIKA 117
</t>
        </r>
      </text>
    </comment>
  </commentList>
</comments>
</file>

<file path=xl/comments3.xml><?xml version="1.0" encoding="utf-8"?>
<comments xmlns="http://schemas.openxmlformats.org/spreadsheetml/2006/main">
  <authors>
    <author>Korisnik</author>
  </authors>
  <commentList>
    <comment ref="H52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matić</t>
        </r>
      </text>
    </comment>
  </commentList>
</comments>
</file>

<file path=xl/sharedStrings.xml><?xml version="1.0" encoding="utf-8"?>
<sst xmlns="http://schemas.openxmlformats.org/spreadsheetml/2006/main" count="496" uniqueCount="228">
  <si>
    <t>VRIJEDNOST</t>
  </si>
  <si>
    <t>JED. MJERE</t>
  </si>
  <si>
    <t>kg</t>
  </si>
  <si>
    <t>kom</t>
  </si>
  <si>
    <t>L</t>
  </si>
  <si>
    <t>kutija</t>
  </si>
  <si>
    <t>RAVNATELJICA:</t>
  </si>
  <si>
    <t>KRUH</t>
  </si>
  <si>
    <t>MLJEVENO MESO</t>
  </si>
  <si>
    <t>KRUH I PEKARSKI PROIZVODI</t>
  </si>
  <si>
    <t>MESO I MESNE PRERAĐEVINE</t>
  </si>
  <si>
    <t>MLIJEKO I MLIJEČNI PROIZVODI</t>
  </si>
  <si>
    <t>NAPICI</t>
  </si>
  <si>
    <t>VOĆE I POVRĆE</t>
  </si>
  <si>
    <t>NAMAZI</t>
  </si>
  <si>
    <t>ZAČINI I OSTALI DODACI U KUHINJI</t>
  </si>
  <si>
    <t>ČAJ</t>
  </si>
  <si>
    <t>pak</t>
  </si>
  <si>
    <t>LINOLADA</t>
  </si>
  <si>
    <t>MARGARIN</t>
  </si>
  <si>
    <t>ČEŠNJAK</t>
  </si>
  <si>
    <t>SOL</t>
  </si>
  <si>
    <t>PAPAR</t>
  </si>
  <si>
    <t>ORIGANO</t>
  </si>
  <si>
    <t>MARMELADA</t>
  </si>
  <si>
    <t>LIMUNSKA KISELINA</t>
  </si>
  <si>
    <t>SALVETE</t>
  </si>
  <si>
    <t>ŠEĆER</t>
  </si>
  <si>
    <t>ULJE</t>
  </si>
  <si>
    <t>l</t>
  </si>
  <si>
    <t>KEČAP</t>
  </si>
  <si>
    <t>BRAŠNO 5 KG</t>
  </si>
  <si>
    <t>GRIZ</t>
  </si>
  <si>
    <t>TJESTENINA</t>
  </si>
  <si>
    <t>PUŽIĆI 400 G, ŠPAGETE, MAKARONI</t>
  </si>
  <si>
    <t>CRVENI LUK</t>
  </si>
  <si>
    <t>MLIJEKO</t>
  </si>
  <si>
    <t>KAKAO</t>
  </si>
  <si>
    <t>SVJEŽI SIR</t>
  </si>
  <si>
    <t>RIŽA</t>
  </si>
  <si>
    <t>SALAMA</t>
  </si>
  <si>
    <t>GRAŠAK</t>
  </si>
  <si>
    <t>JAJA</t>
  </si>
  <si>
    <t>KRUMPIR</t>
  </si>
  <si>
    <t>GRAH</t>
  </si>
  <si>
    <t>PAŠTETA</t>
  </si>
  <si>
    <t>ABC SIR</t>
  </si>
  <si>
    <t>VEGETA</t>
  </si>
  <si>
    <t>MLJEVENA SLATKA PAPRIKA 100 G</t>
  </si>
  <si>
    <t>CELER</t>
  </si>
  <si>
    <t>MRKVA</t>
  </si>
  <si>
    <t>PERŠIN</t>
  </si>
  <si>
    <t>JOGURT</t>
  </si>
  <si>
    <t>VOĆNI JOGURT</t>
  </si>
  <si>
    <t>VANILIN ŠEĆER</t>
  </si>
  <si>
    <t>CEDEVITA</t>
  </si>
  <si>
    <t>OCAT</t>
  </si>
  <si>
    <t>SOK OD RAJČICE 500 ML</t>
  </si>
  <si>
    <t>Gabrijela Telarović</t>
  </si>
  <si>
    <t>Računovođa:</t>
  </si>
  <si>
    <t>Tajnik:</t>
  </si>
  <si>
    <t>TOTAL</t>
  </si>
  <si>
    <t>NAZIV ATRIKLA</t>
  </si>
  <si>
    <t>ZM KOL</t>
  </si>
  <si>
    <t>NB KOL</t>
  </si>
  <si>
    <t>SU KOL</t>
  </si>
  <si>
    <t>KTL KOL</t>
  </si>
  <si>
    <t>JED. CIJENA</t>
  </si>
  <si>
    <t>RB</t>
  </si>
  <si>
    <t>OSNOVNA ŠKOLA ZMAJEVAC</t>
  </si>
  <si>
    <t>SPORTSKA 2/A, ZMAJEVAC</t>
  </si>
  <si>
    <t>STR 1.</t>
  </si>
  <si>
    <t>FOTOKOPIRNI PAPIR</t>
  </si>
  <si>
    <t>DVD</t>
  </si>
  <si>
    <t>ZASTAVICE SAMOLJEPLJIVE</t>
  </si>
  <si>
    <t>JASTUČIĆ ZA ŽIG</t>
  </si>
  <si>
    <t>BATERIJE</t>
  </si>
  <si>
    <t>BOJA ZA ŽIG/PEČAT</t>
  </si>
  <si>
    <t>KARTONSKI FASCIKL</t>
  </si>
  <si>
    <t>PVC FASCIKL</t>
  </si>
  <si>
    <t>PEDAGOŠKA DOKUMENTACIJA</t>
  </si>
  <si>
    <t>RAZREDNA KNJIGA A</t>
  </si>
  <si>
    <t>IMENIK UČENIKA A</t>
  </si>
  <si>
    <t>IMENIK UČENIKA B</t>
  </si>
  <si>
    <t>RAZREDNA KNJIGA B</t>
  </si>
  <si>
    <t>RAZREDNA KNJIGA K</t>
  </si>
  <si>
    <t>IZVANNASTAVNE AKTIVNOSTI</t>
  </si>
  <si>
    <t>EVIDENCIJSKI LIST DOPUNSKE NASTAVE</t>
  </si>
  <si>
    <t>ULOŽNI ARAK</t>
  </si>
  <si>
    <t>SVJEDODŽBA</t>
  </si>
  <si>
    <t>POHVALNICE</t>
  </si>
  <si>
    <t>POST IT</t>
  </si>
  <si>
    <t>PREGRADNI KARTONI</t>
  </si>
  <si>
    <t>KUVERTE VELIKE</t>
  </si>
  <si>
    <t>KUVERTE SREDNJE</t>
  </si>
  <si>
    <t>KUVERTE MALE</t>
  </si>
  <si>
    <t>LJEPILO STICK</t>
  </si>
  <si>
    <t>PRIJAVE I ODJAVE HZZO I HZMO</t>
  </si>
  <si>
    <t>REGISTRATORI</t>
  </si>
  <si>
    <t>SPOJNICE</t>
  </si>
  <si>
    <t>NALOG ZA SLUŽBENO PUTOVANJE</t>
  </si>
  <si>
    <t>HAMER PAPIR</t>
  </si>
  <si>
    <t>TONERI</t>
  </si>
  <si>
    <t>NAZIV USLUGE</t>
  </si>
  <si>
    <t>SERVIS PRINTERA</t>
  </si>
  <si>
    <t>SERVIS RAČUNALA</t>
  </si>
  <si>
    <t>SERVIS FOTOKOPIRNOG STROJA</t>
  </si>
  <si>
    <t>SERVIS SCANERA</t>
  </si>
  <si>
    <t>sat</t>
  </si>
  <si>
    <t>ČUPERICE</t>
  </si>
  <si>
    <t>BILJEŽNICA TVRDE KORICE</t>
  </si>
  <si>
    <t>Ravnateljica:</t>
  </si>
  <si>
    <t>LIQUID ZA POSUĐE</t>
  </si>
  <si>
    <t>ABRAZIVNO SREDSTVO ZA POSUĐE</t>
  </si>
  <si>
    <t>SPUŽVICE ZA PRANJE</t>
  </si>
  <si>
    <t>OSVJEŽIVAČ ZRAKA</t>
  </si>
  <si>
    <t>PAPIRNATI UBRUSI</t>
  </si>
  <si>
    <t>SOLNA KISELINE</t>
  </si>
  <si>
    <t>ŽICE ZA RIBANJE</t>
  </si>
  <si>
    <t>OMEKŠIVAČ ZA RUBLJE</t>
  </si>
  <si>
    <t>DOMESTOS</t>
  </si>
  <si>
    <t>KANTA ZA SMEĆE</t>
  </si>
  <si>
    <t>ČETKE ZA WC</t>
  </si>
  <si>
    <t>DETERDŽENT ZA RUBLJE</t>
  </si>
  <si>
    <t>BANANE</t>
  </si>
  <si>
    <t>JABUKE</t>
  </si>
  <si>
    <t>NARANČE</t>
  </si>
  <si>
    <t>SREDSTVA ZA ČIŠĆENJE</t>
  </si>
  <si>
    <t>RUKAVICE ZA ČIŠĆENJE</t>
  </si>
  <si>
    <t>LONG LIFE DIAMOND ZA PODOVE</t>
  </si>
  <si>
    <t>KRPE ZA ČIŠĆENJE</t>
  </si>
  <si>
    <t>PERMETAL</t>
  </si>
  <si>
    <t>PLIN</t>
  </si>
  <si>
    <t>SPREJ PROTIV MUHA</t>
  </si>
  <si>
    <t xml:space="preserve">TOALETNI PAPIR </t>
  </si>
  <si>
    <t>SAPUN 5L</t>
  </si>
  <si>
    <t>SPUŽVA ZA PLOČU</t>
  </si>
  <si>
    <t>ODČEPLJIVAČ ODVODA</t>
  </si>
  <si>
    <t>KRPE ZA PODOVE</t>
  </si>
  <si>
    <t>UREDSKI MATERIJAL/SITNI INVENTAR</t>
  </si>
  <si>
    <t>ČIŠĆENJE SEPTIČKE JAME</t>
  </si>
  <si>
    <t>SERVIS VATROGASNIH APARATA</t>
  </si>
  <si>
    <t>ČIŠĆENJE DIMNJAKA I KOTLA</t>
  </si>
  <si>
    <t>SANITARNI PREGLED TEH. OSOBLJA</t>
  </si>
  <si>
    <t>SERVIS GRAFOSKOPA</t>
  </si>
  <si>
    <t>SISTEMATSKI PREGLED UČITELJA</t>
  </si>
  <si>
    <t>DEZINSEKCIJA I DERATIZACIJA</t>
  </si>
  <si>
    <t>ODRŽAVANJA SOFTWARE-A</t>
  </si>
  <si>
    <t>USLUGA PRIJEVOZA UČENIKA</t>
  </si>
  <si>
    <t>kotiz</t>
  </si>
  <si>
    <t>mj</t>
  </si>
  <si>
    <t>TONER ZA FAX</t>
  </si>
  <si>
    <t>SERVIS KOSILICE</t>
  </si>
  <si>
    <t>po ug</t>
  </si>
  <si>
    <t>SERVIS BUŠILICA</t>
  </si>
  <si>
    <t>cis</t>
  </si>
  <si>
    <t>tret</t>
  </si>
  <si>
    <t>SERVIS KUHINJKSIH ŠTEDNJAKA</t>
  </si>
  <si>
    <t>GOD PREGLED PLAMENIKA I ODRŽAVANJE SUS. GRIJANJA</t>
  </si>
  <si>
    <t>LABORATORIJSKE PRETRAGE</t>
  </si>
  <si>
    <t>po preg</t>
  </si>
  <si>
    <t>SERVISI, ODRŽAVANJE I ZDRAVSTVO</t>
  </si>
  <si>
    <t>OSTALO</t>
  </si>
  <si>
    <t>ELEKTRIČNA ENERGIJA</t>
  </si>
  <si>
    <t>LOŽ ULJE</t>
  </si>
  <si>
    <t>OBŽ</t>
  </si>
  <si>
    <t>MOTORNO ULJE I BENZIN</t>
  </si>
  <si>
    <t>POŠTANSKI TROŠKOVI</t>
  </si>
  <si>
    <t>LITERATURA</t>
  </si>
  <si>
    <t>god</t>
  </si>
  <si>
    <t>REPREZENTACIJA</t>
  </si>
  <si>
    <t>VODA</t>
  </si>
  <si>
    <t>RADNA ODJEĆA - KUHARICE, ČISTAČICE</t>
  </si>
  <si>
    <t>RADNA ODJEĆA - DOMAR</t>
  </si>
  <si>
    <t>RADNA ODJEĆA - PROF. TJELESNOG</t>
  </si>
  <si>
    <t>PRIČUVA</t>
  </si>
  <si>
    <t>TELEFON I Internet</t>
  </si>
  <si>
    <t>MATERIJAL ZA TEK. I INVES. ODRŽ</t>
  </si>
  <si>
    <t>MATERIJAL</t>
  </si>
  <si>
    <t>OSTALE NAMIRNICE I POTREBŠTINE</t>
  </si>
  <si>
    <t>OSTALI NENAVEDENI MATERIJAL</t>
  </si>
  <si>
    <t>OSTALE NENAVEDENE I IZVANREDNE USLUGE</t>
  </si>
  <si>
    <t>ŠKOLSKA KUHINJA</t>
  </si>
  <si>
    <t>UREDSKI MATERIJAL</t>
  </si>
  <si>
    <t>ELEK, ENERGIJA, GRIJANJE, ODRŽ, REPREZENTACIJA, IZVANREDNI TROŠKOVI</t>
  </si>
  <si>
    <t>STR. 2</t>
  </si>
  <si>
    <t>STR 1</t>
  </si>
  <si>
    <t>INVESTICIJSKO ODRŽAVANJE-OBŽ</t>
  </si>
  <si>
    <t>USLUGE INVES. ODRŽ. GRAĐEVINA</t>
  </si>
  <si>
    <t>SEMINAR RAČUN, TAJN, RAVNAT</t>
  </si>
  <si>
    <t>PLAN NABAVE  OŠ ZMAJEVAC ZA 2015. GODINU</t>
  </si>
  <si>
    <t>ZMAJEVAC, 20.10.2014.</t>
  </si>
  <si>
    <t>Kinga Kolar</t>
  </si>
  <si>
    <t>MAT. I USL. ZA TEK. I INVES. ODRŽ</t>
  </si>
  <si>
    <t>PLAN NABAVE  OŠ ZMAJEVAC ZA 2018. GODINU</t>
  </si>
  <si>
    <t>PECIVO</t>
  </si>
  <si>
    <t>SENDVIČ SIR</t>
  </si>
  <si>
    <t>KVASAC 50 G</t>
  </si>
  <si>
    <t>HRENOVKA U TIJESTU</t>
  </si>
  <si>
    <t>BUREK SIR</t>
  </si>
  <si>
    <t>BUREK MESO</t>
  </si>
  <si>
    <t>KROASANA ČOKOLADA</t>
  </si>
  <si>
    <t>PIZZA</t>
  </si>
  <si>
    <t>SLANAC SA SIROM</t>
  </si>
  <si>
    <t>BUHTLA ČOKOLADA, VIŠNJA</t>
  </si>
  <si>
    <t>ŠTRUDLA S VIŠNJAMA, PUDINGOM</t>
  </si>
  <si>
    <t>SENDVIČ KIFLA</t>
  </si>
  <si>
    <t>PLETENICA</t>
  </si>
  <si>
    <t>KRASTAVCI UKISELJENI</t>
  </si>
  <si>
    <t>PUDING</t>
  </si>
  <si>
    <t>PAPRIKA</t>
  </si>
  <si>
    <t>PUNJENJE ZA HEFTARICU</t>
  </si>
  <si>
    <t>CORNFLEKS</t>
  </si>
  <si>
    <t>MED</t>
  </si>
  <si>
    <t>MAJONEZA</t>
  </si>
  <si>
    <t>MLIJEČNI NAMAZ</t>
  </si>
  <si>
    <t>KOBASICA / HRENOVKA</t>
  </si>
  <si>
    <t>SREDSTVO ZA PRANJE PODOVA</t>
  </si>
  <si>
    <t>SREDSTVO ZA PRANJE KUPATILA</t>
  </si>
  <si>
    <t>SREDSTVO ZA PRANJE PROZORA</t>
  </si>
  <si>
    <t xml:space="preserve">VREĆE ZA SMEĆE </t>
  </si>
  <si>
    <t>OLOVKE</t>
  </si>
  <si>
    <t>BUŠILICE</t>
  </si>
  <si>
    <t>FLOMASTER MARKET 4 KOM</t>
  </si>
  <si>
    <t>PROZIRNICE</t>
  </si>
  <si>
    <t>NAMIRNICE</t>
  </si>
  <si>
    <t>ZMAJEVAC, 28.11.2017.</t>
  </si>
  <si>
    <t>Marija Maceković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</si>
</sst>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00"/>
    <numFmt numFmtId="168" formatCode="[$-41A]d\.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Segoe UI"/>
      <family val="0"/>
    </font>
    <font>
      <b/>
      <sz val="9"/>
      <name val="Segoe UI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4" fontId="2" fillId="34" borderId="11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1" fillId="33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2" xfId="0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indent="2"/>
    </xf>
    <xf numFmtId="4" fontId="52" fillId="0" borderId="10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" fontId="52" fillId="0" borderId="10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 horizontal="right"/>
    </xf>
    <xf numFmtId="4" fontId="52" fillId="0" borderId="0" xfId="0" applyNumberFormat="1" applyFont="1" applyFill="1" applyBorder="1" applyAlignment="1">
      <alignment horizontal="right"/>
    </xf>
    <xf numFmtId="4" fontId="52" fillId="33" borderId="12" xfId="0" applyNumberFormat="1" applyFont="1" applyFill="1" applyBorder="1" applyAlignment="1">
      <alignment horizontal="right"/>
    </xf>
    <xf numFmtId="4" fontId="53" fillId="33" borderId="10" xfId="0" applyNumberFormat="1" applyFont="1" applyFill="1" applyBorder="1" applyAlignment="1">
      <alignment horizontal="right"/>
    </xf>
    <xf numFmtId="0" fontId="53" fillId="33" borderId="14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82">
      <selection activeCell="I106" sqref="I106"/>
    </sheetView>
  </sheetViews>
  <sheetFormatPr defaultColWidth="9.140625" defaultRowHeight="12.75"/>
  <cols>
    <col min="1" max="1" width="3.8515625" style="5" customWidth="1"/>
    <col min="2" max="2" width="33.8515625" style="12" customWidth="1"/>
    <col min="3" max="3" width="6.00390625" style="42" customWidth="1"/>
    <col min="4" max="4" width="8.7109375" style="6" bestFit="1" customWidth="1"/>
    <col min="5" max="6" width="6.140625" style="6" bestFit="1" customWidth="1"/>
    <col min="7" max="7" width="6.421875" style="6" customWidth="1"/>
    <col min="8" max="8" width="7.421875" style="166" customWidth="1"/>
    <col min="9" max="9" width="12.00390625" style="31" customWidth="1"/>
    <col min="10" max="16384" width="9.140625" style="3" customWidth="1"/>
  </cols>
  <sheetData>
    <row r="1" spans="2:9" ht="12.75">
      <c r="B1" s="24" t="s">
        <v>69</v>
      </c>
      <c r="D1" s="4"/>
      <c r="E1" s="4"/>
      <c r="F1" s="4"/>
      <c r="I1" s="147" t="s">
        <v>186</v>
      </c>
    </row>
    <row r="2" spans="2:9" ht="12.75">
      <c r="B2" s="25" t="s">
        <v>70</v>
      </c>
      <c r="D2" s="4"/>
      <c r="E2" s="4"/>
      <c r="F2" s="4"/>
      <c r="G2" s="28"/>
      <c r="H2" s="167"/>
      <c r="I2" s="32"/>
    </row>
    <row r="3" spans="2:9" ht="12.75">
      <c r="B3" s="26"/>
      <c r="G3" s="28"/>
      <c r="H3" s="167"/>
      <c r="I3" s="32"/>
    </row>
    <row r="4" spans="2:9" ht="12.75">
      <c r="B4" s="25" t="s">
        <v>226</v>
      </c>
      <c r="D4" s="4"/>
      <c r="E4" s="4"/>
      <c r="F4" s="4"/>
      <c r="G4" s="28"/>
      <c r="H4" s="167"/>
      <c r="I4" s="32"/>
    </row>
    <row r="5" spans="2:9" ht="10.5" customHeight="1">
      <c r="B5" s="26"/>
      <c r="G5" s="28"/>
      <c r="H5" s="167"/>
      <c r="I5" s="32"/>
    </row>
    <row r="6" spans="2:9" ht="10.5" customHeight="1">
      <c r="B6" s="176" t="s">
        <v>194</v>
      </c>
      <c r="C6" s="176"/>
      <c r="D6" s="176"/>
      <c r="E6" s="176"/>
      <c r="F6" s="176"/>
      <c r="G6" s="176"/>
      <c r="H6" s="176"/>
      <c r="I6" s="176"/>
    </row>
    <row r="7" spans="7:9" ht="9" customHeight="1">
      <c r="G7" s="28"/>
      <c r="H7" s="167"/>
      <c r="I7" s="32"/>
    </row>
    <row r="8" spans="1:9" s="43" customFormat="1" ht="38.25">
      <c r="A8" s="44" t="s">
        <v>68</v>
      </c>
      <c r="B8" s="48" t="s">
        <v>62</v>
      </c>
      <c r="C8" s="45" t="s">
        <v>1</v>
      </c>
      <c r="D8" s="46" t="s">
        <v>63</v>
      </c>
      <c r="E8" s="46" t="s">
        <v>64</v>
      </c>
      <c r="F8" s="46" t="s">
        <v>65</v>
      </c>
      <c r="G8" s="46" t="s">
        <v>66</v>
      </c>
      <c r="H8" s="46" t="s">
        <v>67</v>
      </c>
      <c r="I8" s="47" t="s">
        <v>0</v>
      </c>
    </row>
    <row r="9" spans="1:9" ht="12.75">
      <c r="A9" s="15"/>
      <c r="B9" s="34" t="s">
        <v>9</v>
      </c>
      <c r="C9" s="33"/>
      <c r="D9" s="22"/>
      <c r="E9" s="22"/>
      <c r="F9" s="22"/>
      <c r="G9" s="22"/>
      <c r="H9" s="168"/>
      <c r="I9" s="35">
        <f>SUM(I10:I24)</f>
        <v>28575.5</v>
      </c>
    </row>
    <row r="10" spans="1:9" ht="12.75">
      <c r="A10" s="7">
        <v>1</v>
      </c>
      <c r="B10" s="27" t="s">
        <v>7</v>
      </c>
      <c r="C10" s="22" t="s">
        <v>3</v>
      </c>
      <c r="D10" s="75">
        <f>(14*4)*9.5</f>
        <v>532</v>
      </c>
      <c r="E10" s="75">
        <f>3*9.5</f>
        <v>28.5</v>
      </c>
      <c r="F10" s="75">
        <f>24*9.5</f>
        <v>228</v>
      </c>
      <c r="G10" s="51">
        <f>22*9.5</f>
        <v>209</v>
      </c>
      <c r="H10" s="51">
        <v>5.5</v>
      </c>
      <c r="I10" s="30">
        <f>(D10+E10+F10+G10)*H10</f>
        <v>5486.25</v>
      </c>
    </row>
    <row r="11" spans="1:9" ht="12.75">
      <c r="A11" s="7">
        <v>2</v>
      </c>
      <c r="B11" s="27" t="s">
        <v>195</v>
      </c>
      <c r="C11" s="22" t="s">
        <v>3</v>
      </c>
      <c r="D11" s="75">
        <f>61*2</f>
        <v>122</v>
      </c>
      <c r="E11" s="75">
        <f>19*9.5</f>
        <v>180.5</v>
      </c>
      <c r="F11" s="75">
        <f>34*9.5</f>
        <v>323</v>
      </c>
      <c r="G11" s="75">
        <f>80*9.5</f>
        <v>760</v>
      </c>
      <c r="H11" s="75">
        <v>3.5</v>
      </c>
      <c r="I11" s="30">
        <f>(D11+E11+F11+G11)*H11</f>
        <v>4849.25</v>
      </c>
    </row>
    <row r="12" spans="1:9" ht="12.75">
      <c r="A12" s="7">
        <v>3</v>
      </c>
      <c r="B12" s="27" t="s">
        <v>198</v>
      </c>
      <c r="C12" s="22" t="s">
        <v>3</v>
      </c>
      <c r="D12" s="75"/>
      <c r="E12" s="75">
        <f>57*9.5</f>
        <v>541.5</v>
      </c>
      <c r="F12" s="75"/>
      <c r="G12" s="51"/>
      <c r="H12" s="52">
        <v>5.5</v>
      </c>
      <c r="I12" s="30">
        <f>(D12+E12+F12+G12)*H12</f>
        <v>2978.25</v>
      </c>
    </row>
    <row r="13" spans="1:9" ht="12.75">
      <c r="A13" s="7">
        <v>4</v>
      </c>
      <c r="B13" s="27" t="s">
        <v>199</v>
      </c>
      <c r="C13" s="22" t="s">
        <v>3</v>
      </c>
      <c r="D13" s="75"/>
      <c r="E13" s="75">
        <f>14*9.5</f>
        <v>133</v>
      </c>
      <c r="F13" s="75">
        <f>34*9.5</f>
        <v>323</v>
      </c>
      <c r="G13" s="51"/>
      <c r="H13" s="52">
        <v>7</v>
      </c>
      <c r="I13" s="30">
        <f>(D13+E13+F13+G13)*H13</f>
        <v>3192</v>
      </c>
    </row>
    <row r="14" spans="1:9" ht="12.75">
      <c r="A14" s="7">
        <v>5</v>
      </c>
      <c r="B14" s="2" t="s">
        <v>200</v>
      </c>
      <c r="C14" s="22" t="s">
        <v>3</v>
      </c>
      <c r="D14" s="124"/>
      <c r="E14" s="75">
        <f>24*9.5</f>
        <v>228</v>
      </c>
      <c r="F14" s="124"/>
      <c r="G14" s="51"/>
      <c r="H14" s="52">
        <v>8</v>
      </c>
      <c r="I14" s="30">
        <f>(D14+E14+F14+G14)*H14</f>
        <v>1824</v>
      </c>
    </row>
    <row r="15" spans="1:9" ht="12.75">
      <c r="A15" s="7">
        <v>6</v>
      </c>
      <c r="B15" s="2" t="s">
        <v>201</v>
      </c>
      <c r="C15" s="22" t="s">
        <v>3</v>
      </c>
      <c r="D15" s="124"/>
      <c r="E15" s="75">
        <f>50*9.5</f>
        <v>475</v>
      </c>
      <c r="F15" s="124"/>
      <c r="G15" s="51"/>
      <c r="H15" s="52">
        <v>3</v>
      </c>
      <c r="I15" s="30">
        <f aca="true" t="shared" si="0" ref="I15:I23">(D15+E15+F15+G15)*H15</f>
        <v>1425</v>
      </c>
    </row>
    <row r="16" spans="1:9" ht="12.75">
      <c r="A16" s="7">
        <v>7</v>
      </c>
      <c r="B16" s="2" t="s">
        <v>202</v>
      </c>
      <c r="C16" s="22" t="s">
        <v>3</v>
      </c>
      <c r="D16" s="124"/>
      <c r="E16" s="75">
        <f>16*9.5</f>
        <v>152</v>
      </c>
      <c r="F16" s="160">
        <f>34*9.5</f>
        <v>323</v>
      </c>
      <c r="G16" s="51"/>
      <c r="H16" s="52">
        <v>5</v>
      </c>
      <c r="I16" s="30">
        <f t="shared" si="0"/>
        <v>2375</v>
      </c>
    </row>
    <row r="17" spans="1:9" ht="12.75">
      <c r="A17" s="7">
        <v>8</v>
      </c>
      <c r="B17" s="2" t="s">
        <v>203</v>
      </c>
      <c r="C17" s="22" t="s">
        <v>3</v>
      </c>
      <c r="D17" s="124"/>
      <c r="E17" s="75">
        <f>50*9.5</f>
        <v>475</v>
      </c>
      <c r="F17" s="160"/>
      <c r="G17" s="51"/>
      <c r="H17" s="52">
        <v>2</v>
      </c>
      <c r="I17" s="30">
        <f t="shared" si="0"/>
        <v>950</v>
      </c>
    </row>
    <row r="18" spans="1:9" ht="15" customHeight="1">
      <c r="A18" s="7">
        <v>9</v>
      </c>
      <c r="B18" s="2" t="s">
        <v>204</v>
      </c>
      <c r="C18" s="22" t="s">
        <v>3</v>
      </c>
      <c r="D18" s="124"/>
      <c r="E18" s="75">
        <f>60*9.5</f>
        <v>570</v>
      </c>
      <c r="F18" s="160">
        <f>34*9.5</f>
        <v>323</v>
      </c>
      <c r="G18" s="51"/>
      <c r="H18" s="52">
        <v>3.5</v>
      </c>
      <c r="I18" s="30">
        <f t="shared" si="0"/>
        <v>3125.5</v>
      </c>
    </row>
    <row r="19" spans="1:9" ht="12.75">
      <c r="A19" s="7">
        <v>11</v>
      </c>
      <c r="B19" s="2" t="s">
        <v>205</v>
      </c>
      <c r="C19" s="22" t="s">
        <v>3</v>
      </c>
      <c r="D19" s="124"/>
      <c r="E19" s="75">
        <f>22*9.5</f>
        <v>209</v>
      </c>
      <c r="F19" s="124"/>
      <c r="G19" s="51"/>
      <c r="H19" s="52">
        <v>4</v>
      </c>
      <c r="I19" s="30">
        <f t="shared" si="0"/>
        <v>836</v>
      </c>
    </row>
    <row r="20" spans="1:9" ht="12.75">
      <c r="A20" s="7">
        <v>12</v>
      </c>
      <c r="B20" s="2" t="s">
        <v>206</v>
      </c>
      <c r="C20" s="22" t="s">
        <v>3</v>
      </c>
      <c r="D20" s="124"/>
      <c r="E20" s="75">
        <f>57*9.5</f>
        <v>541.5</v>
      </c>
      <c r="F20" s="124"/>
      <c r="G20" s="51"/>
      <c r="H20" s="52">
        <v>2</v>
      </c>
      <c r="I20" s="30">
        <f t="shared" si="0"/>
        <v>1083</v>
      </c>
    </row>
    <row r="21" spans="1:9" ht="12.75">
      <c r="A21" s="7">
        <v>13</v>
      </c>
      <c r="B21" s="2" t="s">
        <v>207</v>
      </c>
      <c r="C21" s="22" t="s">
        <v>3</v>
      </c>
      <c r="D21" s="124"/>
      <c r="E21" s="75">
        <f>19*9.5</f>
        <v>180.5</v>
      </c>
      <c r="F21" s="124"/>
      <c r="G21" s="51"/>
      <c r="H21" s="52">
        <v>2.5</v>
      </c>
      <c r="I21" s="30">
        <f t="shared" si="0"/>
        <v>451.25</v>
      </c>
    </row>
    <row r="22" spans="1:9" ht="12.75">
      <c r="A22" s="7"/>
      <c r="B22" s="2"/>
      <c r="C22" s="22"/>
      <c r="D22" s="124"/>
      <c r="E22" s="75"/>
      <c r="F22" s="124"/>
      <c r="G22" s="51"/>
      <c r="H22" s="162"/>
      <c r="I22" s="30">
        <f t="shared" si="0"/>
        <v>0</v>
      </c>
    </row>
    <row r="23" spans="1:9" ht="12.75">
      <c r="A23" s="7"/>
      <c r="B23" s="2"/>
      <c r="C23" s="22"/>
      <c r="D23" s="124"/>
      <c r="E23" s="75"/>
      <c r="F23" s="124"/>
      <c r="G23" s="51"/>
      <c r="H23" s="162"/>
      <c r="I23" s="30">
        <f t="shared" si="0"/>
        <v>0</v>
      </c>
    </row>
    <row r="24" spans="1:9" ht="12.75">
      <c r="A24" s="7"/>
      <c r="B24" s="2"/>
      <c r="C24" s="22"/>
      <c r="D24" s="124"/>
      <c r="E24" s="75"/>
      <c r="F24" s="124"/>
      <c r="G24" s="51"/>
      <c r="H24" s="162"/>
      <c r="I24" s="30"/>
    </row>
    <row r="25" spans="1:9" ht="12.75">
      <c r="A25" s="7"/>
      <c r="B25" s="36" t="s">
        <v>33</v>
      </c>
      <c r="C25" s="22"/>
      <c r="D25" s="19"/>
      <c r="E25" s="19"/>
      <c r="F25" s="19"/>
      <c r="G25" s="37"/>
      <c r="H25" s="169"/>
      <c r="I25" s="39">
        <f>I26+I27+I28+I29</f>
        <v>2660</v>
      </c>
    </row>
    <row r="26" spans="1:9" ht="12.75">
      <c r="A26" s="7">
        <v>3</v>
      </c>
      <c r="B26" s="27" t="s">
        <v>34</v>
      </c>
      <c r="C26" s="22" t="s">
        <v>17</v>
      </c>
      <c r="D26" s="18">
        <f>(1*4*9.5)*10</f>
        <v>380</v>
      </c>
      <c r="E26" s="18"/>
      <c r="F26" s="1"/>
      <c r="G26" s="8"/>
      <c r="H26" s="9">
        <v>7</v>
      </c>
      <c r="I26" s="30">
        <f>(D26+E26+F26+G26)*H26</f>
        <v>2660</v>
      </c>
    </row>
    <row r="27" spans="1:9" ht="12.75">
      <c r="A27" s="7"/>
      <c r="B27" s="27"/>
      <c r="C27" s="22"/>
      <c r="D27" s="1"/>
      <c r="E27" s="1"/>
      <c r="F27" s="1"/>
      <c r="G27" s="8"/>
      <c r="H27" s="165"/>
      <c r="I27" s="30">
        <f aca="true" t="shared" si="1" ref="I27:I55">(D27+E27+F27+G27)*H27</f>
        <v>0</v>
      </c>
    </row>
    <row r="28" spans="1:9" ht="12.75">
      <c r="A28" s="7"/>
      <c r="B28" s="27"/>
      <c r="C28" s="22"/>
      <c r="D28" s="1"/>
      <c r="E28" s="1"/>
      <c r="F28" s="1"/>
      <c r="G28" s="8"/>
      <c r="H28" s="165"/>
      <c r="I28" s="30">
        <f t="shared" si="1"/>
        <v>0</v>
      </c>
    </row>
    <row r="29" spans="1:9" ht="12.75">
      <c r="A29" s="7"/>
      <c r="B29" s="27"/>
      <c r="C29" s="22"/>
      <c r="D29" s="11"/>
      <c r="E29" s="11"/>
      <c r="F29" s="11"/>
      <c r="G29" s="8"/>
      <c r="H29" s="165"/>
      <c r="I29" s="30">
        <f t="shared" si="1"/>
        <v>0</v>
      </c>
    </row>
    <row r="30" spans="1:9" s="13" customFormat="1" ht="12.75">
      <c r="A30" s="16"/>
      <c r="B30" s="40" t="s">
        <v>10</v>
      </c>
      <c r="C30" s="23"/>
      <c r="D30" s="20"/>
      <c r="E30" s="20"/>
      <c r="F30" s="20"/>
      <c r="G30" s="41"/>
      <c r="H30" s="169"/>
      <c r="I30" s="39">
        <f>SUM(I31:I35)</f>
        <v>14025.75</v>
      </c>
    </row>
    <row r="31" spans="1:9" ht="12.75">
      <c r="A31" s="7">
        <v>4</v>
      </c>
      <c r="B31" s="27" t="s">
        <v>216</v>
      </c>
      <c r="C31" s="22" t="s">
        <v>2</v>
      </c>
      <c r="D31" s="75">
        <f>7*9</f>
        <v>63</v>
      </c>
      <c r="E31" s="75"/>
      <c r="F31" s="75">
        <f>3*9.5</f>
        <v>28.5</v>
      </c>
      <c r="G31" s="51">
        <f>3*9</f>
        <v>27</v>
      </c>
      <c r="H31" s="52">
        <v>17.5</v>
      </c>
      <c r="I31" s="53">
        <f>(D31+E31+F31+G31)*H31</f>
        <v>2073.75</v>
      </c>
    </row>
    <row r="32" spans="1:9" ht="12.75">
      <c r="A32" s="7">
        <v>5</v>
      </c>
      <c r="B32" s="27" t="s">
        <v>8</v>
      </c>
      <c r="C32" s="22" t="s">
        <v>2</v>
      </c>
      <c r="D32" s="75">
        <f>7*9</f>
        <v>63</v>
      </c>
      <c r="E32" s="75"/>
      <c r="F32" s="75"/>
      <c r="G32" s="51"/>
      <c r="H32" s="52">
        <v>35</v>
      </c>
      <c r="I32" s="53">
        <f>(D32+E32+F32+G32)*H32</f>
        <v>2205</v>
      </c>
    </row>
    <row r="33" spans="1:9" ht="12.75">
      <c r="A33" s="7">
        <v>6</v>
      </c>
      <c r="B33" s="2" t="s">
        <v>40</v>
      </c>
      <c r="C33" s="22" t="s">
        <v>2</v>
      </c>
      <c r="D33" s="75">
        <f>6*9.5</f>
        <v>57</v>
      </c>
      <c r="E33" s="75">
        <f>7.5*9.5</f>
        <v>71.25</v>
      </c>
      <c r="F33" s="75">
        <f>12*9.5</f>
        <v>114</v>
      </c>
      <c r="G33" s="51">
        <f>1.5*9.5</f>
        <v>14.25</v>
      </c>
      <c r="H33" s="52">
        <v>38</v>
      </c>
      <c r="I33" s="53">
        <f t="shared" si="1"/>
        <v>9747</v>
      </c>
    </row>
    <row r="34" spans="1:9" ht="12.75">
      <c r="A34" s="7"/>
      <c r="B34" s="27"/>
      <c r="C34" s="22"/>
      <c r="D34" s="18"/>
      <c r="E34" s="18"/>
      <c r="F34" s="18"/>
      <c r="G34" s="51"/>
      <c r="H34" s="162"/>
      <c r="I34" s="53">
        <f t="shared" si="1"/>
        <v>0</v>
      </c>
    </row>
    <row r="35" spans="1:9" ht="12.75">
      <c r="A35" s="7"/>
      <c r="B35" s="27"/>
      <c r="C35" s="22"/>
      <c r="D35" s="11"/>
      <c r="E35" s="11"/>
      <c r="F35" s="11"/>
      <c r="G35" s="8"/>
      <c r="H35" s="165"/>
      <c r="I35" s="30">
        <f t="shared" si="1"/>
        <v>0</v>
      </c>
    </row>
    <row r="36" spans="1:9" s="13" customFormat="1" ht="12.75">
      <c r="A36" s="16"/>
      <c r="B36" s="40" t="s">
        <v>11</v>
      </c>
      <c r="C36" s="23"/>
      <c r="D36" s="20"/>
      <c r="E36" s="20"/>
      <c r="F36" s="20"/>
      <c r="G36" s="41"/>
      <c r="H36" s="169"/>
      <c r="I36" s="39">
        <f>SUM(I37:I45)</f>
        <v>13660.9375</v>
      </c>
    </row>
    <row r="37" spans="1:9" ht="12.75">
      <c r="A37" s="7">
        <v>8</v>
      </c>
      <c r="B37" s="27" t="s">
        <v>196</v>
      </c>
      <c r="C37" s="22" t="s">
        <v>2</v>
      </c>
      <c r="D37" s="75">
        <f>3*9</f>
        <v>27</v>
      </c>
      <c r="E37" s="75">
        <f>1*9.5</f>
        <v>9.5</v>
      </c>
      <c r="F37" s="75">
        <f>1*9.5</f>
        <v>9.5</v>
      </c>
      <c r="G37" s="51">
        <f>0.4*9.5</f>
        <v>3.8000000000000003</v>
      </c>
      <c r="H37" s="52">
        <v>40</v>
      </c>
      <c r="I37" s="30">
        <f t="shared" si="1"/>
        <v>1992</v>
      </c>
    </row>
    <row r="38" spans="1:9" ht="12.75">
      <c r="A38" s="7">
        <v>9</v>
      </c>
      <c r="B38" s="27" t="s">
        <v>36</v>
      </c>
      <c r="C38" s="22" t="s">
        <v>29</v>
      </c>
      <c r="D38" s="75">
        <f>10*4*9.5</f>
        <v>380</v>
      </c>
      <c r="E38" s="75">
        <f>12*9.5</f>
        <v>114</v>
      </c>
      <c r="F38" s="75">
        <f>20*9.5</f>
        <v>190</v>
      </c>
      <c r="G38" s="51">
        <f>6*9.5</f>
        <v>57</v>
      </c>
      <c r="H38" s="52">
        <v>7.5</v>
      </c>
      <c r="I38" s="30">
        <f t="shared" si="1"/>
        <v>5557.5</v>
      </c>
    </row>
    <row r="39" spans="1:9" ht="12.75">
      <c r="A39" s="7">
        <v>10</v>
      </c>
      <c r="B39" s="27" t="s">
        <v>38</v>
      </c>
      <c r="C39" s="22" t="s">
        <v>2</v>
      </c>
      <c r="D39" s="75">
        <f>10*9.5</f>
        <v>95</v>
      </c>
      <c r="E39" s="75"/>
      <c r="F39" s="75">
        <f>1*9.5</f>
        <v>9.5</v>
      </c>
      <c r="G39" s="51"/>
      <c r="H39" s="52">
        <v>13</v>
      </c>
      <c r="I39" s="30">
        <f t="shared" si="1"/>
        <v>1358.5</v>
      </c>
    </row>
    <row r="40" spans="1:9" ht="12.75">
      <c r="A40" s="7">
        <v>11</v>
      </c>
      <c r="B40" s="2" t="s">
        <v>46</v>
      </c>
      <c r="C40" s="22" t="s">
        <v>2</v>
      </c>
      <c r="D40" s="75">
        <f>(0.2*7)*2*9</f>
        <v>25.200000000000003</v>
      </c>
      <c r="E40" s="75"/>
      <c r="F40" s="75"/>
      <c r="G40" s="51">
        <f>0.6*9.5</f>
        <v>5.7</v>
      </c>
      <c r="H40" s="52">
        <v>70</v>
      </c>
      <c r="I40" s="30">
        <f t="shared" si="1"/>
        <v>2163</v>
      </c>
    </row>
    <row r="41" spans="1:9" ht="12.75">
      <c r="A41" s="7">
        <v>12</v>
      </c>
      <c r="B41" s="2" t="s">
        <v>52</v>
      </c>
      <c r="C41" s="22" t="s">
        <v>3</v>
      </c>
      <c r="D41" s="18">
        <f>(2*60)*0.95</f>
        <v>114</v>
      </c>
      <c r="E41" s="18">
        <f>11*9.5</f>
        <v>104.5</v>
      </c>
      <c r="F41" s="18">
        <f>6*9.5</f>
        <v>57</v>
      </c>
      <c r="G41" s="174">
        <f>11*9.5</f>
        <v>104.5</v>
      </c>
      <c r="H41" s="52">
        <v>3.2</v>
      </c>
      <c r="I41" s="30">
        <f>(D41+E41+F41+G41)*H41</f>
        <v>1216</v>
      </c>
    </row>
    <row r="42" spans="1:9" ht="12.75">
      <c r="A42" s="7">
        <v>13</v>
      </c>
      <c r="B42" s="2" t="s">
        <v>53</v>
      </c>
      <c r="C42" s="22" t="s">
        <v>3</v>
      </c>
      <c r="D42" s="75"/>
      <c r="E42" s="75">
        <f>8*9.5</f>
        <v>76</v>
      </c>
      <c r="F42" s="75"/>
      <c r="G42" s="51">
        <f>11*9.5</f>
        <v>104.5</v>
      </c>
      <c r="H42" s="52">
        <v>3.5</v>
      </c>
      <c r="I42" s="30">
        <f t="shared" si="1"/>
        <v>631.75</v>
      </c>
    </row>
    <row r="43" spans="1:9" ht="12.75">
      <c r="A43" s="7">
        <v>14</v>
      </c>
      <c r="B43" s="2" t="s">
        <v>209</v>
      </c>
      <c r="C43" s="22" t="s">
        <v>3</v>
      </c>
      <c r="D43" s="75"/>
      <c r="E43" s="75">
        <f>19*9.5</f>
        <v>180.5</v>
      </c>
      <c r="F43" s="75"/>
      <c r="G43" s="51"/>
      <c r="H43" s="52">
        <f>2.5*1.25</f>
        <v>3.125</v>
      </c>
      <c r="I43" s="30">
        <f t="shared" si="1"/>
        <v>564.0625</v>
      </c>
    </row>
    <row r="44" spans="1:9" ht="12.75">
      <c r="A44" s="7">
        <v>15</v>
      </c>
      <c r="B44" s="2" t="s">
        <v>215</v>
      </c>
      <c r="C44" s="22" t="s">
        <v>3</v>
      </c>
      <c r="D44" s="124"/>
      <c r="E44" s="75">
        <f>5*9.5</f>
        <v>47.5</v>
      </c>
      <c r="F44" s="160"/>
      <c r="G44" s="51"/>
      <c r="H44" s="52">
        <f>3*1.25</f>
        <v>3.75</v>
      </c>
      <c r="I44" s="30">
        <f t="shared" si="1"/>
        <v>178.125</v>
      </c>
    </row>
    <row r="45" spans="1:9" ht="12.75">
      <c r="A45" s="7"/>
      <c r="B45" s="2"/>
      <c r="C45" s="22"/>
      <c r="D45" s="11"/>
      <c r="E45" s="11"/>
      <c r="F45" s="11"/>
      <c r="G45" s="8"/>
      <c r="H45" s="165"/>
      <c r="I45" s="30">
        <f t="shared" si="1"/>
        <v>0</v>
      </c>
    </row>
    <row r="46" spans="1:9" s="13" customFormat="1" ht="12.75">
      <c r="A46" s="16"/>
      <c r="B46" s="36" t="s">
        <v>12</v>
      </c>
      <c r="C46" s="23"/>
      <c r="D46" s="20"/>
      <c r="E46" s="20"/>
      <c r="F46" s="20"/>
      <c r="G46" s="41"/>
      <c r="H46" s="169"/>
      <c r="I46" s="39">
        <f>SUM(I47:I51)</f>
        <v>3954.5</v>
      </c>
    </row>
    <row r="47" spans="1:9" ht="12.75">
      <c r="A47" s="7">
        <v>14</v>
      </c>
      <c r="B47" s="2" t="s">
        <v>16</v>
      </c>
      <c r="C47" s="22" t="s">
        <v>17</v>
      </c>
      <c r="D47" s="75">
        <f>3*4*9.5</f>
        <v>114</v>
      </c>
      <c r="E47" s="75"/>
      <c r="F47" s="75">
        <f>3*9.5</f>
        <v>28.5</v>
      </c>
      <c r="G47" s="51">
        <f>3*9.5</f>
        <v>28.5</v>
      </c>
      <c r="H47" s="52">
        <v>5</v>
      </c>
      <c r="I47" s="53">
        <f t="shared" si="1"/>
        <v>855</v>
      </c>
    </row>
    <row r="48" spans="1:9" ht="12.75">
      <c r="A48" s="7">
        <v>15</v>
      </c>
      <c r="B48" s="2" t="s">
        <v>37</v>
      </c>
      <c r="C48" s="22" t="s">
        <v>17</v>
      </c>
      <c r="D48" s="18">
        <v>8</v>
      </c>
      <c r="E48" s="18"/>
      <c r="F48" s="18">
        <f>2*9.5</f>
        <v>19</v>
      </c>
      <c r="G48" s="51">
        <v>10</v>
      </c>
      <c r="H48" s="52">
        <v>10</v>
      </c>
      <c r="I48" s="53">
        <f>(D48+E48+F48+G48)*H48</f>
        <v>370</v>
      </c>
    </row>
    <row r="49" spans="1:9" ht="12.75">
      <c r="A49" s="7">
        <v>16</v>
      </c>
      <c r="B49" s="2" t="s">
        <v>55</v>
      </c>
      <c r="C49" s="22" t="s">
        <v>2</v>
      </c>
      <c r="D49" s="18">
        <v>3</v>
      </c>
      <c r="E49" s="18">
        <v>10</v>
      </c>
      <c r="F49" s="18">
        <f>3*9.5</f>
        <v>28.5</v>
      </c>
      <c r="G49" s="51">
        <v>10</v>
      </c>
      <c r="H49" s="52">
        <v>53</v>
      </c>
      <c r="I49" s="53">
        <f t="shared" si="1"/>
        <v>2729.5</v>
      </c>
    </row>
    <row r="50" spans="1:9" ht="12.75">
      <c r="A50" s="7"/>
      <c r="B50" s="27" t="s">
        <v>212</v>
      </c>
      <c r="C50" s="22" t="s">
        <v>17</v>
      </c>
      <c r="D50" s="124"/>
      <c r="E50" s="124"/>
      <c r="F50" s="160">
        <f>2*9.5</f>
        <v>19</v>
      </c>
      <c r="G50" s="51"/>
      <c r="H50" s="162"/>
      <c r="I50" s="53">
        <f t="shared" si="1"/>
        <v>0</v>
      </c>
    </row>
    <row r="51" spans="1:9" s="17" customFormat="1" ht="12.75">
      <c r="A51" s="49"/>
      <c r="B51" s="50"/>
      <c r="C51" s="22"/>
      <c r="D51" s="18"/>
      <c r="E51" s="18"/>
      <c r="F51" s="18"/>
      <c r="G51" s="51"/>
      <c r="H51" s="162"/>
      <c r="I51" s="53">
        <f t="shared" si="1"/>
        <v>0</v>
      </c>
    </row>
    <row r="52" spans="1:9" s="13" customFormat="1" ht="12.75">
      <c r="A52" s="16"/>
      <c r="B52" s="36" t="s">
        <v>13</v>
      </c>
      <c r="C52" s="23"/>
      <c r="D52" s="20"/>
      <c r="E52" s="20"/>
      <c r="F52" s="20"/>
      <c r="G52" s="41"/>
      <c r="H52" s="169"/>
      <c r="I52" s="39">
        <f>SUM(I53:I63)+SUM(I67:I69)</f>
        <v>6187.4</v>
      </c>
    </row>
    <row r="53" spans="1:9" ht="12.75">
      <c r="A53" s="7">
        <v>17</v>
      </c>
      <c r="B53" s="2" t="s">
        <v>20</v>
      </c>
      <c r="C53" s="22" t="s">
        <v>2</v>
      </c>
      <c r="D53" s="75">
        <v>2</v>
      </c>
      <c r="E53" s="75"/>
      <c r="F53" s="75"/>
      <c r="G53" s="51"/>
      <c r="H53" s="9">
        <v>35</v>
      </c>
      <c r="I53" s="30">
        <f t="shared" si="1"/>
        <v>70</v>
      </c>
    </row>
    <row r="54" spans="1:9" ht="12.75">
      <c r="A54" s="7">
        <v>18</v>
      </c>
      <c r="B54" s="2" t="s">
        <v>35</v>
      </c>
      <c r="C54" s="22" t="s">
        <v>2</v>
      </c>
      <c r="D54" s="75">
        <f>4*9.5</f>
        <v>38</v>
      </c>
      <c r="E54" s="75"/>
      <c r="F54" s="75"/>
      <c r="G54" s="51"/>
      <c r="H54" s="9">
        <v>5</v>
      </c>
      <c r="I54" s="30">
        <f>(D54+E54+F54+G54)*H54</f>
        <v>190</v>
      </c>
    </row>
    <row r="55" spans="1:9" ht="12.75">
      <c r="A55" s="7">
        <v>19</v>
      </c>
      <c r="B55" s="2" t="s">
        <v>39</v>
      </c>
      <c r="C55" s="22" t="s">
        <v>2</v>
      </c>
      <c r="D55" s="18">
        <v>27</v>
      </c>
      <c r="E55" s="18"/>
      <c r="F55" s="18"/>
      <c r="G55" s="51"/>
      <c r="H55" s="9">
        <v>8.5</v>
      </c>
      <c r="I55" s="30">
        <f t="shared" si="1"/>
        <v>229.5</v>
      </c>
    </row>
    <row r="56" spans="1:9" ht="12.75">
      <c r="A56" s="7">
        <v>20</v>
      </c>
      <c r="B56" s="2" t="s">
        <v>41</v>
      </c>
      <c r="C56" s="22" t="s">
        <v>2</v>
      </c>
      <c r="D56" s="18">
        <v>90</v>
      </c>
      <c r="E56" s="18"/>
      <c r="F56" s="18"/>
      <c r="G56" s="51"/>
      <c r="H56" s="9">
        <v>12</v>
      </c>
      <c r="I56" s="30">
        <f aca="true" t="shared" si="2" ref="I56:I105">(D56+E56+F56+G56)*H56</f>
        <v>1080</v>
      </c>
    </row>
    <row r="57" spans="1:9" ht="12.75">
      <c r="A57" s="7">
        <v>21</v>
      </c>
      <c r="B57" s="2" t="s">
        <v>43</v>
      </c>
      <c r="C57" s="22" t="s">
        <v>2</v>
      </c>
      <c r="D57" s="75">
        <v>280</v>
      </c>
      <c r="E57" s="75"/>
      <c r="F57" s="75"/>
      <c r="G57" s="51"/>
      <c r="H57" s="9">
        <v>3.5</v>
      </c>
      <c r="I57" s="30">
        <f t="shared" si="2"/>
        <v>980</v>
      </c>
    </row>
    <row r="58" spans="1:9" ht="12.75">
      <c r="A58" s="7">
        <v>22</v>
      </c>
      <c r="B58" s="2" t="s">
        <v>44</v>
      </c>
      <c r="C58" s="22" t="s">
        <v>2</v>
      </c>
      <c r="D58" s="75">
        <f>5*4</f>
        <v>20</v>
      </c>
      <c r="E58" s="75"/>
      <c r="F58" s="75"/>
      <c r="G58" s="51"/>
      <c r="H58" s="9">
        <v>20</v>
      </c>
      <c r="I58" s="30">
        <f t="shared" si="2"/>
        <v>400</v>
      </c>
    </row>
    <row r="59" spans="1:9" ht="12.75">
      <c r="A59" s="7">
        <v>23</v>
      </c>
      <c r="B59" s="2" t="s">
        <v>49</v>
      </c>
      <c r="C59" s="22" t="s">
        <v>2</v>
      </c>
      <c r="D59" s="75">
        <v>2</v>
      </c>
      <c r="E59" s="75"/>
      <c r="F59" s="75"/>
      <c r="G59" s="51"/>
      <c r="H59" s="9">
        <v>14</v>
      </c>
      <c r="I59" s="30">
        <f t="shared" si="2"/>
        <v>28</v>
      </c>
    </row>
    <row r="60" spans="1:9" ht="12.75">
      <c r="A60" s="7">
        <v>24</v>
      </c>
      <c r="B60" s="2" t="s">
        <v>50</v>
      </c>
      <c r="C60" s="22" t="s">
        <v>2</v>
      </c>
      <c r="D60" s="18">
        <v>10</v>
      </c>
      <c r="E60" s="18"/>
      <c r="F60" s="18"/>
      <c r="G60" s="51"/>
      <c r="H60" s="9">
        <v>7</v>
      </c>
      <c r="I60" s="30">
        <f t="shared" si="2"/>
        <v>70</v>
      </c>
    </row>
    <row r="61" spans="1:9" ht="12.75">
      <c r="A61" s="7">
        <v>25</v>
      </c>
      <c r="B61" s="2" t="s">
        <v>51</v>
      </c>
      <c r="C61" s="22" t="s">
        <v>2</v>
      </c>
      <c r="D61" s="18">
        <v>5</v>
      </c>
      <c r="E61" s="18"/>
      <c r="F61" s="18"/>
      <c r="G61" s="51"/>
      <c r="H61" s="9">
        <v>15</v>
      </c>
      <c r="I61" s="30">
        <f t="shared" si="2"/>
        <v>75</v>
      </c>
    </row>
    <row r="62" spans="1:9" ht="12.75">
      <c r="A62" s="159">
        <v>26</v>
      </c>
      <c r="B62" s="2" t="s">
        <v>208</v>
      </c>
      <c r="C62" s="22" t="s">
        <v>4</v>
      </c>
      <c r="D62" s="18"/>
      <c r="E62" s="18">
        <v>10</v>
      </c>
      <c r="F62" s="18">
        <f>2*9.5</f>
        <v>19</v>
      </c>
      <c r="G62" s="51"/>
      <c r="H62" s="9">
        <v>13</v>
      </c>
      <c r="I62" s="30">
        <f t="shared" si="2"/>
        <v>377</v>
      </c>
    </row>
    <row r="63" spans="1:9" ht="12.75">
      <c r="A63" s="159">
        <v>27</v>
      </c>
      <c r="B63" s="1" t="s">
        <v>210</v>
      </c>
      <c r="C63" s="22" t="s">
        <v>2</v>
      </c>
      <c r="D63" s="18"/>
      <c r="E63" s="18">
        <v>10</v>
      </c>
      <c r="F63" s="18"/>
      <c r="G63" s="51"/>
      <c r="H63" s="9">
        <f>20</f>
        <v>20</v>
      </c>
      <c r="I63" s="30">
        <f t="shared" si="2"/>
        <v>200</v>
      </c>
    </row>
    <row r="64" spans="1:9" s="65" customFormat="1" ht="12.75">
      <c r="A64" s="59"/>
      <c r="B64" s="60"/>
      <c r="C64" s="61"/>
      <c r="D64" s="60"/>
      <c r="E64" s="60"/>
      <c r="F64" s="60"/>
      <c r="G64" s="62"/>
      <c r="H64" s="170"/>
      <c r="I64" s="74" t="s">
        <v>185</v>
      </c>
    </row>
    <row r="65" spans="1:9" s="65" customFormat="1" ht="12.75">
      <c r="A65" s="59"/>
      <c r="B65" s="60"/>
      <c r="C65" s="61"/>
      <c r="D65" s="66"/>
      <c r="E65" s="66"/>
      <c r="F65" s="66"/>
      <c r="G65" s="62"/>
      <c r="H65" s="170"/>
      <c r="I65" s="64"/>
    </row>
    <row r="66" spans="1:9" s="65" customFormat="1" ht="12.75">
      <c r="A66" s="59"/>
      <c r="B66" s="60"/>
      <c r="C66" s="61"/>
      <c r="D66" s="66"/>
      <c r="E66" s="66"/>
      <c r="F66" s="66"/>
      <c r="G66" s="62"/>
      <c r="H66" s="170"/>
      <c r="I66" s="64"/>
    </row>
    <row r="67" spans="1:9" s="65" customFormat="1" ht="12.75">
      <c r="A67" s="49">
        <v>28</v>
      </c>
      <c r="B67" s="18" t="s">
        <v>124</v>
      </c>
      <c r="C67" s="22" t="s">
        <v>2</v>
      </c>
      <c r="D67" s="75"/>
      <c r="E67" s="75">
        <v>2</v>
      </c>
      <c r="F67" s="75"/>
      <c r="G67" s="51"/>
      <c r="H67" s="52">
        <v>10</v>
      </c>
      <c r="I67" s="53">
        <f>(D67+E67+F67+G67)*H67</f>
        <v>20</v>
      </c>
    </row>
    <row r="68" spans="1:9" s="65" customFormat="1" ht="12.75">
      <c r="A68" s="49">
        <v>29</v>
      </c>
      <c r="B68" s="18" t="s">
        <v>126</v>
      </c>
      <c r="C68" s="22" t="s">
        <v>2</v>
      </c>
      <c r="D68" s="75"/>
      <c r="E68" s="75">
        <v>2</v>
      </c>
      <c r="F68" s="75"/>
      <c r="G68" s="51"/>
      <c r="H68" s="52">
        <v>10</v>
      </c>
      <c r="I68" s="53">
        <f>(D68+E68+F68+G68)*H68</f>
        <v>20</v>
      </c>
    </row>
    <row r="69" spans="1:9" ht="12.75">
      <c r="A69" s="49">
        <v>30</v>
      </c>
      <c r="B69" s="18" t="s">
        <v>125</v>
      </c>
      <c r="C69" s="22" t="s">
        <v>2</v>
      </c>
      <c r="D69" s="75">
        <f>0.15*61*4*9.5</f>
        <v>347.7</v>
      </c>
      <c r="E69" s="75">
        <v>2</v>
      </c>
      <c r="F69" s="75"/>
      <c r="G69" s="51"/>
      <c r="H69" s="52">
        <v>7</v>
      </c>
      <c r="I69" s="53">
        <f>(D69+E69+F69+G69)*H69</f>
        <v>2447.9</v>
      </c>
    </row>
    <row r="70" spans="1:9" s="13" customFormat="1" ht="12.75">
      <c r="A70" s="67"/>
      <c r="B70" s="68" t="s">
        <v>14</v>
      </c>
      <c r="C70" s="69"/>
      <c r="D70" s="70"/>
      <c r="E70" s="70"/>
      <c r="F70" s="70"/>
      <c r="G70" s="71"/>
      <c r="H70" s="171"/>
      <c r="I70" s="72">
        <f>SUM(I71:I77)</f>
        <v>2648.75</v>
      </c>
    </row>
    <row r="71" spans="1:9" ht="12.75">
      <c r="A71" s="7">
        <v>31</v>
      </c>
      <c r="B71" s="2" t="s">
        <v>18</v>
      </c>
      <c r="C71" s="22" t="s">
        <v>17</v>
      </c>
      <c r="D71" s="75">
        <v>5</v>
      </c>
      <c r="E71" s="75"/>
      <c r="F71" s="75">
        <v>10</v>
      </c>
      <c r="G71" s="51">
        <v>10</v>
      </c>
      <c r="H71" s="9">
        <v>20</v>
      </c>
      <c r="I71" s="30">
        <f t="shared" si="2"/>
        <v>500</v>
      </c>
    </row>
    <row r="72" spans="1:9" ht="12.75">
      <c r="A72" s="7">
        <v>32</v>
      </c>
      <c r="B72" s="2" t="s">
        <v>19</v>
      </c>
      <c r="C72" s="22" t="s">
        <v>3</v>
      </c>
      <c r="D72" s="75">
        <f>0.5*4*9.5</f>
        <v>19</v>
      </c>
      <c r="E72" s="75">
        <v>48</v>
      </c>
      <c r="F72" s="75">
        <v>28</v>
      </c>
      <c r="G72" s="51">
        <v>10</v>
      </c>
      <c r="H72" s="9">
        <v>6</v>
      </c>
      <c r="I72" s="30">
        <f t="shared" si="2"/>
        <v>630</v>
      </c>
    </row>
    <row r="73" spans="1:9" ht="12.75">
      <c r="A73" s="7">
        <v>33</v>
      </c>
      <c r="B73" s="2" t="s">
        <v>24</v>
      </c>
      <c r="C73" s="22" t="s">
        <v>17</v>
      </c>
      <c r="D73" s="18">
        <f>3*9.5</f>
        <v>28.5</v>
      </c>
      <c r="E73" s="18"/>
      <c r="F73" s="18">
        <v>9</v>
      </c>
      <c r="G73" s="51"/>
      <c r="H73" s="9">
        <v>12.5</v>
      </c>
      <c r="I73" s="30">
        <f>(D73+E73+F73+G73)*H73</f>
        <v>468.75</v>
      </c>
    </row>
    <row r="74" spans="1:9" ht="12.75">
      <c r="A74" s="7">
        <v>34</v>
      </c>
      <c r="B74" s="2" t="s">
        <v>45</v>
      </c>
      <c r="C74" s="22" t="s">
        <v>2</v>
      </c>
      <c r="D74" s="75">
        <v>6</v>
      </c>
      <c r="E74" s="75"/>
      <c r="F74" s="75">
        <v>9</v>
      </c>
      <c r="G74" s="51">
        <v>6</v>
      </c>
      <c r="H74" s="9">
        <v>50</v>
      </c>
      <c r="I74" s="30">
        <f t="shared" si="2"/>
        <v>1050</v>
      </c>
    </row>
    <row r="75" spans="1:9" ht="12.75">
      <c r="A75" s="7"/>
      <c r="B75" s="2" t="s">
        <v>213</v>
      </c>
      <c r="C75" s="22" t="s">
        <v>17</v>
      </c>
      <c r="D75" s="18"/>
      <c r="E75" s="18"/>
      <c r="F75" s="18">
        <f>2*9.5</f>
        <v>19</v>
      </c>
      <c r="G75" s="51"/>
      <c r="H75" s="165"/>
      <c r="I75" s="30">
        <f t="shared" si="2"/>
        <v>0</v>
      </c>
    </row>
    <row r="76" spans="1:9" ht="12.75">
      <c r="A76" s="7"/>
      <c r="B76" s="2"/>
      <c r="C76" s="22"/>
      <c r="D76" s="1"/>
      <c r="E76" s="1"/>
      <c r="F76" s="18"/>
      <c r="G76" s="8"/>
      <c r="H76" s="165"/>
      <c r="I76" s="30">
        <f t="shared" si="2"/>
        <v>0</v>
      </c>
    </row>
    <row r="77" spans="1:9" ht="12.75">
      <c r="A77" s="7"/>
      <c r="B77" s="2"/>
      <c r="C77" s="22"/>
      <c r="D77" s="1"/>
      <c r="E77" s="1"/>
      <c r="F77" s="1"/>
      <c r="G77" s="8"/>
      <c r="H77" s="165"/>
      <c r="I77" s="30">
        <f t="shared" si="2"/>
        <v>0</v>
      </c>
    </row>
    <row r="78" spans="1:9" s="13" customFormat="1" ht="12.75">
      <c r="A78" s="16"/>
      <c r="B78" s="36" t="s">
        <v>15</v>
      </c>
      <c r="C78" s="23"/>
      <c r="D78" s="21"/>
      <c r="E78" s="21"/>
      <c r="F78" s="21"/>
      <c r="G78" s="41"/>
      <c r="H78" s="169"/>
      <c r="I78" s="39">
        <f>SUM(I79:I97)</f>
        <v>8170.3</v>
      </c>
    </row>
    <row r="79" spans="1:9" ht="12.75">
      <c r="A79" s="7">
        <v>35</v>
      </c>
      <c r="B79" s="2" t="s">
        <v>21</v>
      </c>
      <c r="C79" s="22" t="s">
        <v>2</v>
      </c>
      <c r="D79" s="18">
        <v>10</v>
      </c>
      <c r="E79" s="18"/>
      <c r="F79" s="18"/>
      <c r="G79" s="51">
        <v>1</v>
      </c>
      <c r="H79" s="52">
        <v>5</v>
      </c>
      <c r="I79" s="30">
        <f t="shared" si="2"/>
        <v>55</v>
      </c>
    </row>
    <row r="80" spans="1:9" ht="12.75">
      <c r="A80" s="7">
        <v>36</v>
      </c>
      <c r="B80" s="2" t="s">
        <v>22</v>
      </c>
      <c r="C80" s="22" t="s">
        <v>2</v>
      </c>
      <c r="D80" s="18">
        <v>1</v>
      </c>
      <c r="E80" s="18"/>
      <c r="F80" s="18"/>
      <c r="G80" s="51"/>
      <c r="H80" s="52">
        <v>130</v>
      </c>
      <c r="I80" s="30">
        <f t="shared" si="2"/>
        <v>130</v>
      </c>
    </row>
    <row r="81" spans="1:9" ht="12.75">
      <c r="A81" s="7">
        <v>37</v>
      </c>
      <c r="B81" s="2" t="s">
        <v>23</v>
      </c>
      <c r="C81" s="22" t="s">
        <v>17</v>
      </c>
      <c r="D81" s="18">
        <v>9</v>
      </c>
      <c r="E81" s="18"/>
      <c r="F81" s="18"/>
      <c r="G81" s="51"/>
      <c r="H81" s="52">
        <v>7.3</v>
      </c>
      <c r="I81" s="30">
        <f t="shared" si="2"/>
        <v>65.7</v>
      </c>
    </row>
    <row r="82" spans="1:9" ht="12.75">
      <c r="A82" s="7">
        <v>38</v>
      </c>
      <c r="B82" s="2" t="s">
        <v>25</v>
      </c>
      <c r="C82" s="22" t="s">
        <v>17</v>
      </c>
      <c r="D82" s="75">
        <v>3</v>
      </c>
      <c r="E82" s="75"/>
      <c r="F82" s="75"/>
      <c r="G82" s="75">
        <v>1</v>
      </c>
      <c r="H82" s="75">
        <f>2.72*1.25</f>
        <v>3.4000000000000004</v>
      </c>
      <c r="I82" s="30">
        <f t="shared" si="2"/>
        <v>13.600000000000001</v>
      </c>
    </row>
    <row r="83" spans="1:9" ht="12.75">
      <c r="A83" s="7">
        <v>39</v>
      </c>
      <c r="B83" s="2" t="s">
        <v>26</v>
      </c>
      <c r="C83" s="22" t="s">
        <v>17</v>
      </c>
      <c r="D83" s="18">
        <v>9</v>
      </c>
      <c r="E83" s="18">
        <v>10</v>
      </c>
      <c r="F83" s="18"/>
      <c r="G83" s="51">
        <v>2</v>
      </c>
      <c r="H83" s="52">
        <v>12</v>
      </c>
      <c r="I83" s="30">
        <f t="shared" si="2"/>
        <v>252</v>
      </c>
    </row>
    <row r="84" spans="1:9" ht="12.75">
      <c r="A84" s="7">
        <v>40</v>
      </c>
      <c r="B84" s="2" t="s">
        <v>27</v>
      </c>
      <c r="C84" s="22" t="s">
        <v>2</v>
      </c>
      <c r="D84" s="18">
        <v>114</v>
      </c>
      <c r="E84" s="18">
        <v>10</v>
      </c>
      <c r="F84" s="18"/>
      <c r="G84" s="51">
        <v>10</v>
      </c>
      <c r="H84" s="52">
        <v>8</v>
      </c>
      <c r="I84" s="30">
        <f t="shared" si="2"/>
        <v>1072</v>
      </c>
    </row>
    <row r="85" spans="1:9" ht="12.75">
      <c r="A85" s="7">
        <v>41</v>
      </c>
      <c r="B85" s="2" t="s">
        <v>28</v>
      </c>
      <c r="C85" s="22" t="s">
        <v>29</v>
      </c>
      <c r="D85" s="18">
        <v>90</v>
      </c>
      <c r="E85" s="18"/>
      <c r="F85" s="18"/>
      <c r="G85" s="51"/>
      <c r="H85" s="52">
        <v>10</v>
      </c>
      <c r="I85" s="30">
        <f t="shared" si="2"/>
        <v>900</v>
      </c>
    </row>
    <row r="86" spans="1:9" ht="12.75">
      <c r="A86" s="7">
        <v>42</v>
      </c>
      <c r="B86" s="2" t="s">
        <v>30</v>
      </c>
      <c r="C86" s="22" t="s">
        <v>3</v>
      </c>
      <c r="D86" s="18">
        <v>9</v>
      </c>
      <c r="E86" s="18">
        <v>9</v>
      </c>
      <c r="F86" s="18">
        <v>9</v>
      </c>
      <c r="G86" s="51">
        <v>9</v>
      </c>
      <c r="H86" s="52">
        <v>13</v>
      </c>
      <c r="I86" s="30">
        <f t="shared" si="2"/>
        <v>468</v>
      </c>
    </row>
    <row r="87" spans="1:9" ht="12.75">
      <c r="A87" s="159">
        <v>43</v>
      </c>
      <c r="B87" s="2" t="s">
        <v>214</v>
      </c>
      <c r="C87" s="22" t="s">
        <v>3</v>
      </c>
      <c r="D87" s="18"/>
      <c r="E87" s="18"/>
      <c r="F87" s="18">
        <v>10</v>
      </c>
      <c r="G87" s="51"/>
      <c r="H87" s="52">
        <v>13</v>
      </c>
      <c r="I87" s="30">
        <f t="shared" si="2"/>
        <v>130</v>
      </c>
    </row>
    <row r="88" spans="1:9" ht="12.75">
      <c r="A88" s="159">
        <v>44</v>
      </c>
      <c r="B88" s="2"/>
      <c r="C88" s="22" t="s">
        <v>3</v>
      </c>
      <c r="D88" s="75"/>
      <c r="E88" s="75"/>
      <c r="F88" s="75"/>
      <c r="G88" s="51"/>
      <c r="H88" s="52"/>
      <c r="I88" s="30">
        <f t="shared" si="2"/>
        <v>0</v>
      </c>
    </row>
    <row r="89" spans="1:9" ht="12.75">
      <c r="A89" s="7">
        <v>45</v>
      </c>
      <c r="B89" s="2" t="s">
        <v>31</v>
      </c>
      <c r="C89" s="22" t="s">
        <v>17</v>
      </c>
      <c r="D89" s="18">
        <f>2*4*9.5</f>
        <v>76</v>
      </c>
      <c r="E89" s="161"/>
      <c r="F89" s="161"/>
      <c r="G89" s="51"/>
      <c r="H89" s="52">
        <v>20</v>
      </c>
      <c r="I89" s="30">
        <f>(D89+E89+F89+G89)*H89</f>
        <v>1520</v>
      </c>
    </row>
    <row r="90" spans="1:9" ht="12.75">
      <c r="A90" s="7">
        <v>46</v>
      </c>
      <c r="B90" s="2" t="s">
        <v>197</v>
      </c>
      <c r="C90" s="22" t="s">
        <v>17</v>
      </c>
      <c r="D90" s="18">
        <f>10*4*9.5</f>
        <v>380</v>
      </c>
      <c r="E90" s="161"/>
      <c r="F90" s="161"/>
      <c r="G90" s="51"/>
      <c r="H90" s="52">
        <f>2.4*1.25</f>
        <v>3</v>
      </c>
      <c r="I90" s="30">
        <f t="shared" si="2"/>
        <v>1140</v>
      </c>
    </row>
    <row r="91" spans="1:9" ht="12.75">
      <c r="A91" s="7">
        <v>47</v>
      </c>
      <c r="B91" s="2" t="s">
        <v>32</v>
      </c>
      <c r="C91" s="22" t="s">
        <v>2</v>
      </c>
      <c r="D91" s="18">
        <v>10</v>
      </c>
      <c r="E91" s="75"/>
      <c r="F91" s="75"/>
      <c r="G91" s="51"/>
      <c r="H91" s="52">
        <v>8</v>
      </c>
      <c r="I91" s="30">
        <f t="shared" si="2"/>
        <v>80</v>
      </c>
    </row>
    <row r="92" spans="1:9" ht="12.75">
      <c r="A92" s="7">
        <v>48</v>
      </c>
      <c r="B92" s="2" t="s">
        <v>42</v>
      </c>
      <c r="C92" s="22" t="s">
        <v>3</v>
      </c>
      <c r="D92" s="75">
        <v>760</v>
      </c>
      <c r="E92" s="75"/>
      <c r="F92" s="75"/>
      <c r="G92" s="51"/>
      <c r="H92" s="52">
        <v>1.5</v>
      </c>
      <c r="I92" s="30">
        <f t="shared" si="2"/>
        <v>1140</v>
      </c>
    </row>
    <row r="93" spans="1:9" ht="12.75">
      <c r="A93" s="7">
        <v>49</v>
      </c>
      <c r="B93" s="2" t="s">
        <v>47</v>
      </c>
      <c r="C93" s="22" t="s">
        <v>17</v>
      </c>
      <c r="D93" s="18">
        <v>4</v>
      </c>
      <c r="E93" s="18"/>
      <c r="F93" s="18"/>
      <c r="G93" s="51"/>
      <c r="H93" s="52">
        <v>31</v>
      </c>
      <c r="I93" s="30">
        <f t="shared" si="2"/>
        <v>124</v>
      </c>
    </row>
    <row r="94" spans="1:9" ht="12.75">
      <c r="A94" s="7">
        <v>50</v>
      </c>
      <c r="B94" s="2" t="s">
        <v>48</v>
      </c>
      <c r="C94" s="22" t="s">
        <v>17</v>
      </c>
      <c r="D94" s="18">
        <v>80</v>
      </c>
      <c r="E94" s="18"/>
      <c r="F94" s="18"/>
      <c r="G94" s="51"/>
      <c r="H94" s="52">
        <f>4.16*1.25</f>
        <v>5.2</v>
      </c>
      <c r="I94" s="30">
        <f t="shared" si="2"/>
        <v>416</v>
      </c>
    </row>
    <row r="95" spans="1:9" ht="12.75">
      <c r="A95" s="7">
        <v>51</v>
      </c>
      <c r="B95" s="2" t="s">
        <v>54</v>
      </c>
      <c r="C95" s="22" t="s">
        <v>3</v>
      </c>
      <c r="D95" s="18">
        <v>40</v>
      </c>
      <c r="E95" s="18"/>
      <c r="F95" s="18"/>
      <c r="G95" s="51"/>
      <c r="H95" s="52">
        <v>0.8</v>
      </c>
      <c r="I95" s="30">
        <f t="shared" si="2"/>
        <v>32</v>
      </c>
    </row>
    <row r="96" spans="1:9" ht="12.75">
      <c r="A96" s="7">
        <v>52</v>
      </c>
      <c r="B96" s="2" t="s">
        <v>57</v>
      </c>
      <c r="C96" s="22" t="s">
        <v>17</v>
      </c>
      <c r="D96" s="18">
        <f>2*4*9.5</f>
        <v>76</v>
      </c>
      <c r="E96" s="18"/>
      <c r="F96" s="18"/>
      <c r="G96" s="51"/>
      <c r="H96" s="52">
        <v>7</v>
      </c>
      <c r="I96" s="30">
        <f t="shared" si="2"/>
        <v>532</v>
      </c>
    </row>
    <row r="97" spans="1:9" ht="12.75">
      <c r="A97" s="7">
        <v>53</v>
      </c>
      <c r="B97" s="2" t="s">
        <v>56</v>
      </c>
      <c r="C97" s="22" t="s">
        <v>29</v>
      </c>
      <c r="D97" s="18">
        <v>10</v>
      </c>
      <c r="E97" s="1"/>
      <c r="F97" s="1"/>
      <c r="G97" s="8"/>
      <c r="H97" s="9">
        <v>10</v>
      </c>
      <c r="I97" s="30">
        <f t="shared" si="2"/>
        <v>100</v>
      </c>
    </row>
    <row r="98" spans="1:9" ht="12.75">
      <c r="A98" s="7"/>
      <c r="B98" s="2"/>
      <c r="C98" s="22"/>
      <c r="D98" s="1"/>
      <c r="E98" s="1"/>
      <c r="F98" s="1"/>
      <c r="G98" s="8"/>
      <c r="H98" s="165"/>
      <c r="I98" s="30">
        <f t="shared" si="2"/>
        <v>0</v>
      </c>
    </row>
    <row r="99" spans="1:9" s="13" customFormat="1" ht="12.75">
      <c r="A99" s="16"/>
      <c r="B99" s="36" t="s">
        <v>179</v>
      </c>
      <c r="C99" s="23"/>
      <c r="D99" s="21"/>
      <c r="E99" s="21"/>
      <c r="F99" s="21"/>
      <c r="G99" s="41"/>
      <c r="H99" s="172"/>
      <c r="I99" s="39">
        <f>I100+I101</f>
        <v>12000</v>
      </c>
    </row>
    <row r="100" spans="1:9" ht="12.75">
      <c r="A100" s="7"/>
      <c r="B100" s="2" t="s">
        <v>162</v>
      </c>
      <c r="C100" s="22"/>
      <c r="D100" s="18">
        <v>3</v>
      </c>
      <c r="E100" s="18">
        <v>3</v>
      </c>
      <c r="F100" s="18">
        <v>3</v>
      </c>
      <c r="G100" s="51">
        <v>3</v>
      </c>
      <c r="H100" s="52">
        <v>1000</v>
      </c>
      <c r="I100" s="30">
        <f t="shared" si="2"/>
        <v>12000</v>
      </c>
    </row>
    <row r="101" spans="1:9" ht="12.75">
      <c r="A101" s="7"/>
      <c r="B101" s="2"/>
      <c r="C101" s="22"/>
      <c r="D101" s="18"/>
      <c r="E101" s="18"/>
      <c r="F101" s="18"/>
      <c r="G101" s="51"/>
      <c r="H101" s="162"/>
      <c r="I101" s="30"/>
    </row>
    <row r="102" spans="1:9" ht="12.75">
      <c r="A102" s="7"/>
      <c r="B102" s="2"/>
      <c r="C102" s="22"/>
      <c r="D102" s="1"/>
      <c r="E102" s="1"/>
      <c r="F102" s="1"/>
      <c r="G102" s="8"/>
      <c r="H102" s="165"/>
      <c r="I102" s="30"/>
    </row>
    <row r="103" spans="1:10" ht="12.75">
      <c r="A103" s="7"/>
      <c r="B103" s="2" t="s">
        <v>225</v>
      </c>
      <c r="C103" s="22"/>
      <c r="D103" s="1"/>
      <c r="E103" s="1"/>
      <c r="F103" s="1"/>
      <c r="G103" s="8"/>
      <c r="H103" s="165"/>
      <c r="I103" s="30">
        <f>I9+I25+I30+I36+I46+I52+I70+I78</f>
        <v>79883.1375</v>
      </c>
      <c r="J103" s="98"/>
    </row>
    <row r="104" spans="1:9" ht="12.75">
      <c r="A104" s="7"/>
      <c r="B104" s="2"/>
      <c r="C104" s="22"/>
      <c r="D104" s="1"/>
      <c r="E104" s="1"/>
      <c r="F104" s="1"/>
      <c r="G104" s="8"/>
      <c r="H104" s="165"/>
      <c r="I104" s="30"/>
    </row>
    <row r="105" spans="1:9" ht="12.75">
      <c r="A105" s="7"/>
      <c r="B105" s="2"/>
      <c r="C105" s="22"/>
      <c r="D105" s="1"/>
      <c r="E105" s="1"/>
      <c r="F105" s="1"/>
      <c r="G105" s="8"/>
      <c r="H105" s="165"/>
      <c r="I105" s="30">
        <f t="shared" si="2"/>
        <v>0</v>
      </c>
    </row>
    <row r="106" spans="1:9" s="13" customFormat="1" ht="13.5" thickBot="1">
      <c r="A106" s="54"/>
      <c r="B106" s="55" t="s">
        <v>61</v>
      </c>
      <c r="C106" s="56"/>
      <c r="D106" s="57"/>
      <c r="E106" s="57"/>
      <c r="F106" s="57"/>
      <c r="G106" s="57"/>
      <c r="H106" s="173"/>
      <c r="I106" s="58">
        <f>I78+I70+I52+I46+I36+I30+I25+I9+I99</f>
        <v>91883.1375</v>
      </c>
    </row>
    <row r="107" ht="13.5" thickTop="1">
      <c r="A107" s="14"/>
    </row>
    <row r="108" spans="1:7" ht="12.75">
      <c r="A108" s="14"/>
      <c r="B108" s="12" t="s">
        <v>59</v>
      </c>
      <c r="G108" s="6" t="s">
        <v>6</v>
      </c>
    </row>
    <row r="109" spans="2:9" ht="12.75">
      <c r="B109" s="12" t="s">
        <v>58</v>
      </c>
      <c r="G109" s="177" t="s">
        <v>192</v>
      </c>
      <c r="H109" s="177"/>
      <c r="I109" s="177"/>
    </row>
    <row r="111" ht="12.75">
      <c r="B111" s="12" t="s">
        <v>60</v>
      </c>
    </row>
    <row r="112" ht="12.75">
      <c r="B112" s="150" t="s">
        <v>227</v>
      </c>
    </row>
    <row r="129" ht="12.75">
      <c r="I129" s="73"/>
    </row>
  </sheetData>
  <sheetProtection/>
  <mergeCells count="2">
    <mergeCell ref="B6:I6"/>
    <mergeCell ref="G109:I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25">
      <selection activeCell="D48" sqref="D48"/>
    </sheetView>
  </sheetViews>
  <sheetFormatPr defaultColWidth="9.140625" defaultRowHeight="12.75"/>
  <cols>
    <col min="1" max="1" width="3.8515625" style="5" customWidth="1"/>
    <col min="2" max="2" width="31.7109375" style="12" customWidth="1"/>
    <col min="3" max="3" width="6.00390625" style="42" customWidth="1"/>
    <col min="4" max="4" width="6.140625" style="6" customWidth="1"/>
    <col min="5" max="5" width="5.421875" style="6" customWidth="1"/>
    <col min="6" max="6" width="5.7109375" style="6" customWidth="1"/>
    <col min="7" max="7" width="6.421875" style="6" customWidth="1"/>
    <col min="8" max="8" width="10.7109375" style="6" bestFit="1" customWidth="1"/>
    <col min="9" max="9" width="12.00390625" style="31" customWidth="1"/>
    <col min="10" max="16384" width="9.140625" style="3" customWidth="1"/>
  </cols>
  <sheetData>
    <row r="1" spans="2:9" ht="12.75">
      <c r="B1" s="24" t="s">
        <v>69</v>
      </c>
      <c r="D1" s="4"/>
      <c r="E1" s="4"/>
      <c r="F1" s="4"/>
      <c r="I1" s="74" t="s">
        <v>71</v>
      </c>
    </row>
    <row r="2" spans="2:9" ht="12.75">
      <c r="B2" s="25" t="s">
        <v>70</v>
      </c>
      <c r="D2" s="4"/>
      <c r="E2" s="4"/>
      <c r="F2" s="4"/>
      <c r="G2" s="28"/>
      <c r="H2" s="28"/>
      <c r="I2" s="32"/>
    </row>
    <row r="3" spans="2:9" ht="12.75">
      <c r="B3" s="26"/>
      <c r="G3" s="28"/>
      <c r="H3" s="28"/>
      <c r="I3" s="32"/>
    </row>
    <row r="4" spans="2:9" ht="12.75">
      <c r="B4" s="25" t="s">
        <v>226</v>
      </c>
      <c r="D4" s="4"/>
      <c r="E4" s="4"/>
      <c r="F4" s="4"/>
      <c r="G4" s="28"/>
      <c r="H4" s="28"/>
      <c r="I4" s="32"/>
    </row>
    <row r="5" spans="2:9" ht="10.5" customHeight="1">
      <c r="B5" s="26"/>
      <c r="G5" s="28"/>
      <c r="H5" s="28"/>
      <c r="I5" s="32"/>
    </row>
    <row r="6" spans="2:9" ht="10.5" customHeight="1">
      <c r="B6" s="176" t="s">
        <v>194</v>
      </c>
      <c r="C6" s="176"/>
      <c r="D6" s="176"/>
      <c r="E6" s="176"/>
      <c r="F6" s="176"/>
      <c r="G6" s="176"/>
      <c r="H6" s="176"/>
      <c r="I6" s="176"/>
    </row>
    <row r="7" spans="7:9" ht="9" customHeight="1">
      <c r="G7" s="28"/>
      <c r="H7" s="28"/>
      <c r="I7" s="32"/>
    </row>
    <row r="8" spans="1:9" s="43" customFormat="1" ht="38.25">
      <c r="A8" s="44" t="s">
        <v>68</v>
      </c>
      <c r="B8" s="48" t="s">
        <v>62</v>
      </c>
      <c r="C8" s="45" t="s">
        <v>1</v>
      </c>
      <c r="D8" s="46" t="s">
        <v>63</v>
      </c>
      <c r="E8" s="46" t="s">
        <v>64</v>
      </c>
      <c r="F8" s="46" t="s">
        <v>65</v>
      </c>
      <c r="G8" s="46" t="s">
        <v>66</v>
      </c>
      <c r="H8" s="46" t="s">
        <v>67</v>
      </c>
      <c r="I8" s="47" t="s">
        <v>0</v>
      </c>
    </row>
    <row r="9" spans="1:9" ht="25.5">
      <c r="A9" s="15"/>
      <c r="B9" s="94" t="s">
        <v>139</v>
      </c>
      <c r="C9" s="33"/>
      <c r="D9" s="22"/>
      <c r="E9" s="22"/>
      <c r="F9" s="22"/>
      <c r="G9" s="22"/>
      <c r="H9" s="22"/>
      <c r="I9" s="35">
        <f>SUM(I10:I36)</f>
        <v>15841.55</v>
      </c>
    </row>
    <row r="10" spans="1:9" ht="12.75">
      <c r="A10" s="7">
        <v>1</v>
      </c>
      <c r="B10" s="2" t="s">
        <v>77</v>
      </c>
      <c r="C10" s="22" t="s">
        <v>3</v>
      </c>
      <c r="D10" s="11">
        <v>1</v>
      </c>
      <c r="E10" s="11"/>
      <c r="F10" s="11"/>
      <c r="G10" s="8"/>
      <c r="H10" s="8">
        <f>5.9*1.25</f>
        <v>7.375</v>
      </c>
      <c r="I10" s="30">
        <f>(D10+E10+F10+G10)*H10</f>
        <v>7.375</v>
      </c>
    </row>
    <row r="11" spans="1:9" ht="12.75">
      <c r="A11" s="7">
        <v>2</v>
      </c>
      <c r="B11" s="2" t="s">
        <v>78</v>
      </c>
      <c r="C11" s="22" t="s">
        <v>3</v>
      </c>
      <c r="D11" s="11">
        <v>10</v>
      </c>
      <c r="E11" s="11">
        <v>3</v>
      </c>
      <c r="F11" s="11">
        <v>1</v>
      </c>
      <c r="G11" s="75"/>
      <c r="H11" s="11">
        <f>2.1*1.25</f>
        <v>2.625</v>
      </c>
      <c r="I11" s="30">
        <f aca="true" t="shared" si="0" ref="I11:I36">(D11+E11+F11+G11)*H11</f>
        <v>36.75</v>
      </c>
    </row>
    <row r="12" spans="1:9" ht="12.75">
      <c r="A12" s="7">
        <v>3</v>
      </c>
      <c r="B12" s="2" t="s">
        <v>79</v>
      </c>
      <c r="C12" s="22" t="s">
        <v>3</v>
      </c>
      <c r="D12" s="11">
        <v>10</v>
      </c>
      <c r="E12" s="11"/>
      <c r="F12" s="11"/>
      <c r="G12" s="51">
        <v>5</v>
      </c>
      <c r="H12" s="9">
        <f>1.57*1.25</f>
        <v>1.9625000000000001</v>
      </c>
      <c r="I12" s="30">
        <f t="shared" si="0"/>
        <v>29.437500000000004</v>
      </c>
    </row>
    <row r="13" spans="1:9" ht="12.75">
      <c r="A13" s="7">
        <v>4</v>
      </c>
      <c r="B13" s="2" t="s">
        <v>75</v>
      </c>
      <c r="C13" s="22" t="s">
        <v>3</v>
      </c>
      <c r="D13" s="11">
        <v>1</v>
      </c>
      <c r="E13" s="11"/>
      <c r="F13" s="11"/>
      <c r="G13" s="51"/>
      <c r="H13" s="9">
        <f>12.9*1.25</f>
        <v>16.125</v>
      </c>
      <c r="I13" s="30">
        <f t="shared" si="0"/>
        <v>16.125</v>
      </c>
    </row>
    <row r="14" spans="1:9" ht="12.75">
      <c r="A14" s="7">
        <v>5</v>
      </c>
      <c r="B14" s="2" t="s">
        <v>72</v>
      </c>
      <c r="C14" s="22" t="s">
        <v>3</v>
      </c>
      <c r="D14" s="11">
        <v>50</v>
      </c>
      <c r="E14" s="11">
        <v>3</v>
      </c>
      <c r="F14" s="11">
        <v>3</v>
      </c>
      <c r="G14" s="51">
        <v>10</v>
      </c>
      <c r="H14" s="9">
        <f>135</f>
        <v>135</v>
      </c>
      <c r="I14" s="30">
        <f t="shared" si="0"/>
        <v>8910</v>
      </c>
    </row>
    <row r="15" spans="1:9" ht="12.75">
      <c r="A15" s="7">
        <v>6</v>
      </c>
      <c r="B15" s="2" t="s">
        <v>221</v>
      </c>
      <c r="C15" s="22" t="s">
        <v>3</v>
      </c>
      <c r="D15" s="18">
        <f>30*2</f>
        <v>60</v>
      </c>
      <c r="E15" s="18">
        <f>10*2</f>
        <v>20</v>
      </c>
      <c r="F15" s="18">
        <f>7*2</f>
        <v>14</v>
      </c>
      <c r="G15" s="51">
        <f>8*2</f>
        <v>16</v>
      </c>
      <c r="H15" s="52">
        <v>15</v>
      </c>
      <c r="I15" s="30">
        <f t="shared" si="0"/>
        <v>1650</v>
      </c>
    </row>
    <row r="16" spans="1:9" ht="12.75">
      <c r="A16" s="7">
        <v>8</v>
      </c>
      <c r="B16" s="2" t="s">
        <v>74</v>
      </c>
      <c r="C16" s="22" t="s">
        <v>17</v>
      </c>
      <c r="D16" s="18">
        <v>3</v>
      </c>
      <c r="E16" s="18"/>
      <c r="F16" s="18"/>
      <c r="G16" s="51"/>
      <c r="H16" s="52">
        <f>6.68*1.25</f>
        <v>8.35</v>
      </c>
      <c r="I16" s="30">
        <f t="shared" si="0"/>
        <v>25.049999999999997</v>
      </c>
    </row>
    <row r="17" spans="1:9" ht="12.75">
      <c r="A17" s="7">
        <v>9</v>
      </c>
      <c r="B17" s="2" t="s">
        <v>91</v>
      </c>
      <c r="C17" s="22" t="s">
        <v>17</v>
      </c>
      <c r="D17" s="18">
        <v>10</v>
      </c>
      <c r="E17" s="18">
        <v>5</v>
      </c>
      <c r="F17" s="18">
        <v>3</v>
      </c>
      <c r="G17" s="51">
        <v>2</v>
      </c>
      <c r="H17" s="52">
        <f>2.83*1.25</f>
        <v>3.5375</v>
      </c>
      <c r="I17" s="30">
        <f t="shared" si="0"/>
        <v>70.75</v>
      </c>
    </row>
    <row r="18" spans="1:11" ht="14.25" customHeight="1">
      <c r="A18" s="7">
        <v>10</v>
      </c>
      <c r="B18" s="2" t="s">
        <v>222</v>
      </c>
      <c r="C18" s="22" t="s">
        <v>3</v>
      </c>
      <c r="D18" s="18">
        <v>2</v>
      </c>
      <c r="E18" s="18">
        <v>1</v>
      </c>
      <c r="F18" s="18">
        <v>1</v>
      </c>
      <c r="G18" s="51">
        <v>1</v>
      </c>
      <c r="H18" s="52">
        <v>85</v>
      </c>
      <c r="I18" s="30">
        <f t="shared" si="0"/>
        <v>425</v>
      </c>
      <c r="K18" s="107"/>
    </row>
    <row r="19" spans="1:11" ht="12.75">
      <c r="A19" s="7">
        <v>13</v>
      </c>
      <c r="B19" s="2" t="s">
        <v>92</v>
      </c>
      <c r="C19" s="22" t="s">
        <v>17</v>
      </c>
      <c r="D19" s="75">
        <v>2</v>
      </c>
      <c r="E19" s="75"/>
      <c r="F19" s="75"/>
      <c r="G19" s="51"/>
      <c r="H19" s="52">
        <f>13*1.25</f>
        <v>16.25</v>
      </c>
      <c r="I19" s="30">
        <f t="shared" si="0"/>
        <v>32.5</v>
      </c>
      <c r="K19" s="107"/>
    </row>
    <row r="20" spans="1:12" ht="12.75">
      <c r="A20" s="7">
        <v>14</v>
      </c>
      <c r="B20" s="2" t="s">
        <v>93</v>
      </c>
      <c r="C20" s="22" t="s">
        <v>17</v>
      </c>
      <c r="D20" s="75">
        <v>1</v>
      </c>
      <c r="E20" s="75"/>
      <c r="F20" s="75"/>
      <c r="G20" s="51"/>
      <c r="H20" s="52">
        <v>100</v>
      </c>
      <c r="I20" s="30">
        <f t="shared" si="0"/>
        <v>100</v>
      </c>
      <c r="L20" s="107"/>
    </row>
    <row r="21" spans="1:12" ht="12.75">
      <c r="A21" s="7">
        <v>15</v>
      </c>
      <c r="B21" s="2" t="s">
        <v>94</v>
      </c>
      <c r="C21" s="22" t="s">
        <v>3</v>
      </c>
      <c r="D21" s="75">
        <v>200</v>
      </c>
      <c r="E21" s="75"/>
      <c r="F21" s="75"/>
      <c r="G21" s="51">
        <v>20</v>
      </c>
      <c r="H21" s="52">
        <f>0.22*1.25</f>
        <v>0.275</v>
      </c>
      <c r="I21" s="30">
        <f t="shared" si="0"/>
        <v>60.50000000000001</v>
      </c>
      <c r="K21" s="98"/>
      <c r="L21" s="175"/>
    </row>
    <row r="22" spans="1:12" ht="12.75">
      <c r="A22" s="7">
        <v>16</v>
      </c>
      <c r="B22" s="2" t="s">
        <v>95</v>
      </c>
      <c r="C22" s="22" t="s">
        <v>17</v>
      </c>
      <c r="D22" s="75">
        <v>1</v>
      </c>
      <c r="E22" s="75"/>
      <c r="F22" s="75"/>
      <c r="G22" s="51"/>
      <c r="H22" s="52">
        <v>100</v>
      </c>
      <c r="I22" s="30">
        <f t="shared" si="0"/>
        <v>100</v>
      </c>
      <c r="K22" s="98"/>
      <c r="L22" s="98"/>
    </row>
    <row r="23" spans="1:12" ht="12.75">
      <c r="A23" s="7">
        <v>17</v>
      </c>
      <c r="B23" s="2" t="s">
        <v>96</v>
      </c>
      <c r="C23" s="22" t="s">
        <v>3</v>
      </c>
      <c r="D23" s="18">
        <v>20</v>
      </c>
      <c r="E23" s="18"/>
      <c r="F23" s="18"/>
      <c r="G23" s="51"/>
      <c r="H23" s="52">
        <v>6</v>
      </c>
      <c r="I23" s="30">
        <f t="shared" si="0"/>
        <v>120</v>
      </c>
      <c r="K23" s="98"/>
      <c r="L23" s="98"/>
    </row>
    <row r="24" spans="1:12" ht="12.75">
      <c r="A24" s="7">
        <v>18</v>
      </c>
      <c r="B24" s="2" t="s">
        <v>97</v>
      </c>
      <c r="C24" s="22" t="s">
        <v>3</v>
      </c>
      <c r="D24" s="75">
        <v>20</v>
      </c>
      <c r="E24" s="75"/>
      <c r="F24" s="75"/>
      <c r="G24" s="51">
        <v>5</v>
      </c>
      <c r="H24" s="52">
        <f>1.5*1.25</f>
        <v>1.875</v>
      </c>
      <c r="I24" s="30">
        <f t="shared" si="0"/>
        <v>46.875</v>
      </c>
      <c r="K24" s="98"/>
      <c r="L24" s="98"/>
    </row>
    <row r="25" spans="1:12" ht="12.75">
      <c r="A25" s="7">
        <v>19</v>
      </c>
      <c r="B25" s="2" t="s">
        <v>98</v>
      </c>
      <c r="C25" s="22" t="s">
        <v>5</v>
      </c>
      <c r="D25" s="18">
        <v>4</v>
      </c>
      <c r="E25" s="18"/>
      <c r="F25" s="18"/>
      <c r="G25" s="51"/>
      <c r="H25" s="52">
        <f>160</f>
        <v>160</v>
      </c>
      <c r="I25" s="30">
        <f t="shared" si="0"/>
        <v>640</v>
      </c>
      <c r="K25" s="98"/>
      <c r="L25" s="175"/>
    </row>
    <row r="26" spans="1:12" s="13" customFormat="1" ht="12.75">
      <c r="A26" s="7">
        <v>20</v>
      </c>
      <c r="B26" s="2" t="s">
        <v>99</v>
      </c>
      <c r="C26" s="22" t="s">
        <v>5</v>
      </c>
      <c r="D26" s="75">
        <v>5</v>
      </c>
      <c r="E26" s="75"/>
      <c r="F26" s="75"/>
      <c r="G26" s="51">
        <v>2</v>
      </c>
      <c r="H26" s="52">
        <f>5.25*1.25</f>
        <v>6.5625</v>
      </c>
      <c r="I26" s="30">
        <f t="shared" si="0"/>
        <v>45.9375</v>
      </c>
      <c r="K26" s="175"/>
      <c r="L26" s="175"/>
    </row>
    <row r="27" spans="1:12" ht="12.75">
      <c r="A27" s="7">
        <v>21</v>
      </c>
      <c r="B27" s="2" t="s">
        <v>100</v>
      </c>
      <c r="C27" s="22" t="s">
        <v>3</v>
      </c>
      <c r="D27" s="75">
        <v>200</v>
      </c>
      <c r="E27" s="75"/>
      <c r="F27" s="75"/>
      <c r="G27" s="51"/>
      <c r="H27" s="52">
        <f>0.2*1.25</f>
        <v>0.25</v>
      </c>
      <c r="I27" s="30">
        <f t="shared" si="0"/>
        <v>50</v>
      </c>
      <c r="K27" s="98"/>
      <c r="L27" s="175"/>
    </row>
    <row r="28" spans="1:12" ht="12.75">
      <c r="A28" s="7">
        <v>22</v>
      </c>
      <c r="B28" s="2" t="s">
        <v>101</v>
      </c>
      <c r="C28" s="22" t="s">
        <v>3</v>
      </c>
      <c r="D28" s="11">
        <v>20</v>
      </c>
      <c r="E28" s="11"/>
      <c r="F28" s="11"/>
      <c r="G28" s="51">
        <v>8</v>
      </c>
      <c r="H28" s="9">
        <v>7</v>
      </c>
      <c r="I28" s="30">
        <f t="shared" si="0"/>
        <v>196</v>
      </c>
      <c r="K28" s="175"/>
      <c r="L28" s="175"/>
    </row>
    <row r="29" spans="1:12" ht="12.75">
      <c r="A29" s="7">
        <v>23</v>
      </c>
      <c r="B29" s="2" t="s">
        <v>223</v>
      </c>
      <c r="C29" s="22" t="s">
        <v>17</v>
      </c>
      <c r="D29" s="11">
        <v>5</v>
      </c>
      <c r="E29" s="11"/>
      <c r="F29" s="11"/>
      <c r="G29" s="51"/>
      <c r="H29" s="9">
        <v>15</v>
      </c>
      <c r="I29" s="30">
        <f t="shared" si="0"/>
        <v>75</v>
      </c>
      <c r="K29" s="175"/>
      <c r="L29" s="175"/>
    </row>
    <row r="30" spans="1:12" ht="12.75">
      <c r="A30" s="7">
        <v>24</v>
      </c>
      <c r="B30" s="2" t="s">
        <v>102</v>
      </c>
      <c r="C30" s="22" t="s">
        <v>3</v>
      </c>
      <c r="D30" s="11">
        <v>20</v>
      </c>
      <c r="E30" s="11"/>
      <c r="F30" s="11"/>
      <c r="G30" s="51">
        <v>2</v>
      </c>
      <c r="H30" s="9">
        <v>75</v>
      </c>
      <c r="I30" s="30">
        <f t="shared" si="0"/>
        <v>1650</v>
      </c>
      <c r="K30" s="98"/>
      <c r="L30" s="98"/>
    </row>
    <row r="31" spans="1:12" ht="12.75">
      <c r="A31" s="7">
        <v>25</v>
      </c>
      <c r="B31" s="2" t="s">
        <v>109</v>
      </c>
      <c r="C31" s="22" t="s">
        <v>3</v>
      </c>
      <c r="D31" s="11">
        <v>3</v>
      </c>
      <c r="E31" s="11"/>
      <c r="F31" s="10"/>
      <c r="G31" s="51"/>
      <c r="H31" s="9">
        <f>5.25*1.25</f>
        <v>6.5625</v>
      </c>
      <c r="I31" s="30">
        <f t="shared" si="0"/>
        <v>19.6875</v>
      </c>
      <c r="K31" s="98"/>
      <c r="L31" s="98"/>
    </row>
    <row r="32" spans="1:12" ht="12.75">
      <c r="A32" s="7">
        <v>26</v>
      </c>
      <c r="B32" s="2" t="s">
        <v>73</v>
      </c>
      <c r="C32" s="22" t="s">
        <v>17</v>
      </c>
      <c r="D32" s="1">
        <v>1</v>
      </c>
      <c r="E32" s="1"/>
      <c r="F32" s="1"/>
      <c r="G32" s="174"/>
      <c r="H32" s="29">
        <f>53.25*1.25</f>
        <v>66.5625</v>
      </c>
      <c r="I32" s="30">
        <f t="shared" si="0"/>
        <v>66.5625</v>
      </c>
      <c r="K32" s="98"/>
      <c r="L32" s="98"/>
    </row>
    <row r="33" spans="1:12" ht="12.75">
      <c r="A33" s="7">
        <v>29</v>
      </c>
      <c r="B33" s="2" t="s">
        <v>110</v>
      </c>
      <c r="C33" s="22" t="s">
        <v>3</v>
      </c>
      <c r="D33" s="11">
        <v>5</v>
      </c>
      <c r="E33" s="11"/>
      <c r="F33" s="11"/>
      <c r="G33" s="51"/>
      <c r="H33" s="9">
        <f>7.68*1.25</f>
        <v>9.6</v>
      </c>
      <c r="I33" s="30">
        <f t="shared" si="0"/>
        <v>48</v>
      </c>
      <c r="K33" s="98"/>
      <c r="L33" s="98"/>
    </row>
    <row r="34" spans="1:12" s="13" customFormat="1" ht="12.75">
      <c r="A34" s="7">
        <v>30</v>
      </c>
      <c r="B34" s="2" t="s">
        <v>76</v>
      </c>
      <c r="C34" s="22" t="s">
        <v>3</v>
      </c>
      <c r="D34" s="11">
        <v>8</v>
      </c>
      <c r="E34" s="11">
        <v>1</v>
      </c>
      <c r="F34" s="11">
        <v>1</v>
      </c>
      <c r="G34" s="51">
        <v>6</v>
      </c>
      <c r="H34" s="9">
        <f>10*1.25</f>
        <v>12.5</v>
      </c>
      <c r="I34" s="30">
        <f t="shared" si="0"/>
        <v>200</v>
      </c>
      <c r="K34" s="99"/>
      <c r="L34" s="99"/>
    </row>
    <row r="35" spans="1:12" s="13" customFormat="1" ht="12.75">
      <c r="A35" s="7">
        <v>31</v>
      </c>
      <c r="B35" s="2" t="s">
        <v>211</v>
      </c>
      <c r="C35" s="22" t="s">
        <v>3</v>
      </c>
      <c r="D35" s="11">
        <v>1</v>
      </c>
      <c r="E35" s="11">
        <v>1</v>
      </c>
      <c r="F35" s="11">
        <v>1</v>
      </c>
      <c r="G35" s="51">
        <v>1</v>
      </c>
      <c r="H35" s="9">
        <v>5</v>
      </c>
      <c r="I35" s="30">
        <f t="shared" si="0"/>
        <v>20</v>
      </c>
      <c r="K35" s="99"/>
      <c r="L35" s="99"/>
    </row>
    <row r="36" spans="1:12" s="13" customFormat="1" ht="12.75">
      <c r="A36" s="7">
        <v>31</v>
      </c>
      <c r="B36" s="2" t="s">
        <v>151</v>
      </c>
      <c r="C36" s="22" t="s">
        <v>3</v>
      </c>
      <c r="D36" s="11">
        <v>2</v>
      </c>
      <c r="E36" s="11">
        <v>1</v>
      </c>
      <c r="F36" s="11"/>
      <c r="G36" s="51">
        <v>1</v>
      </c>
      <c r="H36" s="9">
        <v>300</v>
      </c>
      <c r="I36" s="30">
        <f t="shared" si="0"/>
        <v>1200</v>
      </c>
      <c r="K36" s="99"/>
      <c r="L36" s="99"/>
    </row>
    <row r="37" spans="1:12" ht="12.75">
      <c r="A37" s="7"/>
      <c r="B37" s="36" t="s">
        <v>80</v>
      </c>
      <c r="C37" s="23"/>
      <c r="D37" s="20"/>
      <c r="E37" s="20"/>
      <c r="F37" s="20"/>
      <c r="G37" s="41"/>
      <c r="H37" s="38"/>
      <c r="I37" s="39">
        <f>SUM(I38:I48)</f>
        <v>5803.725</v>
      </c>
      <c r="K37" s="98"/>
      <c r="L37" s="98"/>
    </row>
    <row r="38" spans="1:12" ht="12.75">
      <c r="A38" s="7">
        <v>31</v>
      </c>
      <c r="B38" s="2" t="s">
        <v>81</v>
      </c>
      <c r="C38" s="22" t="s">
        <v>3</v>
      </c>
      <c r="D38" s="11">
        <v>3</v>
      </c>
      <c r="E38" s="11"/>
      <c r="F38" s="10"/>
      <c r="G38" s="8"/>
      <c r="H38" s="9">
        <f>72*1.25</f>
        <v>90</v>
      </c>
      <c r="I38" s="30">
        <f aca="true" t="shared" si="1" ref="I38:I48">(D38+E38+F38+G38)*H38</f>
        <v>270</v>
      </c>
      <c r="K38" s="98"/>
      <c r="L38" s="98"/>
    </row>
    <row r="39" spans="1:12" ht="12.75">
      <c r="A39" s="7">
        <v>32</v>
      </c>
      <c r="B39" s="2" t="s">
        <v>82</v>
      </c>
      <c r="C39" s="22" t="s">
        <v>3</v>
      </c>
      <c r="D39" s="1">
        <v>24</v>
      </c>
      <c r="E39" s="1">
        <v>5</v>
      </c>
      <c r="F39" s="1">
        <v>4</v>
      </c>
      <c r="G39" s="51">
        <v>4</v>
      </c>
      <c r="H39" s="9">
        <f>11.5*1.25</f>
        <v>14.375</v>
      </c>
      <c r="I39" s="30">
        <f t="shared" si="1"/>
        <v>531.875</v>
      </c>
      <c r="K39" s="98"/>
      <c r="L39" s="98"/>
    </row>
    <row r="40" spans="1:9" ht="12.75">
      <c r="A40" s="7">
        <v>33</v>
      </c>
      <c r="B40" s="2" t="s">
        <v>83</v>
      </c>
      <c r="C40" s="22" t="s">
        <v>3</v>
      </c>
      <c r="D40" s="1">
        <v>12</v>
      </c>
      <c r="E40" s="1">
        <v>4</v>
      </c>
      <c r="F40" s="1"/>
      <c r="G40" s="51"/>
      <c r="H40" s="9">
        <f>11.5*1.25</f>
        <v>14.375</v>
      </c>
      <c r="I40" s="30">
        <f t="shared" si="1"/>
        <v>230</v>
      </c>
    </row>
    <row r="41" spans="1:9" s="17" customFormat="1" ht="12.75">
      <c r="A41" s="7">
        <v>34</v>
      </c>
      <c r="B41" s="2" t="s">
        <v>84</v>
      </c>
      <c r="C41" s="22" t="s">
        <v>3</v>
      </c>
      <c r="D41" s="11">
        <v>8</v>
      </c>
      <c r="E41" s="11">
        <v>2</v>
      </c>
      <c r="F41" s="11"/>
      <c r="G41" s="51"/>
      <c r="H41" s="9">
        <f>72*1.25</f>
        <v>90</v>
      </c>
      <c r="I41" s="30">
        <f t="shared" si="1"/>
        <v>900</v>
      </c>
    </row>
    <row r="42" spans="1:9" s="13" customFormat="1" ht="12.75">
      <c r="A42" s="7">
        <v>35</v>
      </c>
      <c r="B42" s="2" t="s">
        <v>85</v>
      </c>
      <c r="C42" s="22" t="s">
        <v>3</v>
      </c>
      <c r="D42" s="18">
        <v>9</v>
      </c>
      <c r="E42" s="18">
        <v>2</v>
      </c>
      <c r="F42" s="18">
        <v>4</v>
      </c>
      <c r="G42" s="51">
        <v>2</v>
      </c>
      <c r="H42" s="52">
        <f>94*1.25</f>
        <v>117.5</v>
      </c>
      <c r="I42" s="53">
        <f t="shared" si="1"/>
        <v>1997.5</v>
      </c>
    </row>
    <row r="43" spans="1:9" ht="12.75">
      <c r="A43" s="7">
        <v>36</v>
      </c>
      <c r="B43" s="50" t="s">
        <v>86</v>
      </c>
      <c r="C43" s="22" t="s">
        <v>3</v>
      </c>
      <c r="D43" s="75">
        <v>50</v>
      </c>
      <c r="E43" s="75">
        <v>10</v>
      </c>
      <c r="F43" s="75">
        <v>5</v>
      </c>
      <c r="G43" s="51">
        <v>2</v>
      </c>
      <c r="H43" s="52">
        <f>8.3*1.25</f>
        <v>10.375</v>
      </c>
      <c r="I43" s="53">
        <f t="shared" si="1"/>
        <v>695.125</v>
      </c>
    </row>
    <row r="44" spans="1:9" ht="12.75">
      <c r="A44" s="7">
        <v>37</v>
      </c>
      <c r="B44" s="2" t="s">
        <v>87</v>
      </c>
      <c r="C44" s="22" t="s">
        <v>3</v>
      </c>
      <c r="D44" s="11">
        <v>50</v>
      </c>
      <c r="E44" s="11"/>
      <c r="F44" s="11"/>
      <c r="G44" s="51">
        <v>5</v>
      </c>
      <c r="H44" s="9">
        <f>0.3*1.25</f>
        <v>0.375</v>
      </c>
      <c r="I44" s="53">
        <f t="shared" si="1"/>
        <v>20.625</v>
      </c>
    </row>
    <row r="45" spans="1:9" ht="12.75">
      <c r="A45" s="7">
        <v>38</v>
      </c>
      <c r="B45" s="2" t="s">
        <v>88</v>
      </c>
      <c r="C45" s="22" t="s">
        <v>3</v>
      </c>
      <c r="D45" s="11">
        <v>100</v>
      </c>
      <c r="E45" s="11">
        <v>30</v>
      </c>
      <c r="F45" s="11">
        <v>16</v>
      </c>
      <c r="G45" s="51">
        <v>6</v>
      </c>
      <c r="H45" s="9">
        <f>0.7*1.25</f>
        <v>0.875</v>
      </c>
      <c r="I45" s="53">
        <f t="shared" si="1"/>
        <v>133</v>
      </c>
    </row>
    <row r="46" spans="1:9" ht="12.75">
      <c r="A46" s="7">
        <v>39</v>
      </c>
      <c r="B46" s="2" t="s">
        <v>89</v>
      </c>
      <c r="C46" s="22" t="s">
        <v>3</v>
      </c>
      <c r="D46" s="1">
        <v>110</v>
      </c>
      <c r="E46" s="1">
        <v>30</v>
      </c>
      <c r="F46" s="1">
        <v>16</v>
      </c>
      <c r="G46" s="51">
        <v>11</v>
      </c>
      <c r="H46" s="9">
        <f>1.44*1.25</f>
        <v>1.7999999999999998</v>
      </c>
      <c r="I46" s="53">
        <f t="shared" si="1"/>
        <v>300.59999999999997</v>
      </c>
    </row>
    <row r="47" spans="1:9" ht="12.75">
      <c r="A47" s="7">
        <v>40</v>
      </c>
      <c r="B47" s="2" t="s">
        <v>90</v>
      </c>
      <c r="C47" s="22" t="s">
        <v>3</v>
      </c>
      <c r="D47" s="1">
        <v>50</v>
      </c>
      <c r="E47" s="1"/>
      <c r="F47" s="1"/>
      <c r="G47" s="51">
        <v>10</v>
      </c>
      <c r="H47" s="9">
        <f>2.2*1.25</f>
        <v>2.75</v>
      </c>
      <c r="I47" s="53">
        <f t="shared" si="1"/>
        <v>165</v>
      </c>
    </row>
    <row r="48" spans="1:9" ht="12.75">
      <c r="A48" s="7"/>
      <c r="B48" s="100" t="s">
        <v>224</v>
      </c>
      <c r="C48" s="22" t="s">
        <v>17</v>
      </c>
      <c r="D48" s="101">
        <v>40</v>
      </c>
      <c r="E48" s="1"/>
      <c r="F48" s="1"/>
      <c r="G48" s="8"/>
      <c r="H48" s="9">
        <v>14</v>
      </c>
      <c r="I48" s="53">
        <f t="shared" si="1"/>
        <v>560</v>
      </c>
    </row>
    <row r="49" spans="1:9" ht="12.75">
      <c r="A49" s="102"/>
      <c r="B49" s="103" t="s">
        <v>180</v>
      </c>
      <c r="C49" s="23"/>
      <c r="D49" s="104"/>
      <c r="E49" s="103"/>
      <c r="F49" s="103"/>
      <c r="G49" s="105"/>
      <c r="H49" s="106"/>
      <c r="I49" s="39">
        <f>I50</f>
        <v>12000</v>
      </c>
    </row>
    <row r="50" spans="1:9" ht="12.75">
      <c r="A50" s="7"/>
      <c r="B50" s="100" t="s">
        <v>162</v>
      </c>
      <c r="C50" s="22"/>
      <c r="D50" s="1">
        <v>4</v>
      </c>
      <c r="E50" s="1">
        <v>3</v>
      </c>
      <c r="F50" s="1">
        <v>3</v>
      </c>
      <c r="G50" s="51">
        <v>2</v>
      </c>
      <c r="H50" s="9">
        <v>1000</v>
      </c>
      <c r="I50" s="53">
        <f>(D50+E50+F50+G50)*H50</f>
        <v>12000</v>
      </c>
    </row>
    <row r="51" spans="1:9" ht="12.75">
      <c r="A51" s="7"/>
      <c r="B51" s="100"/>
      <c r="C51" s="22"/>
      <c r="D51" s="1"/>
      <c r="E51" s="1"/>
      <c r="F51" s="1"/>
      <c r="G51" s="8"/>
      <c r="H51" s="9"/>
      <c r="I51" s="53"/>
    </row>
    <row r="52" spans="1:9" ht="12.75">
      <c r="A52" s="7"/>
      <c r="B52" s="100"/>
      <c r="C52" s="22"/>
      <c r="D52" s="1"/>
      <c r="E52" s="1"/>
      <c r="F52" s="1"/>
      <c r="G52" s="8"/>
      <c r="H52" s="9"/>
      <c r="I52" s="53"/>
    </row>
    <row r="53" spans="1:9" s="13" customFormat="1" ht="12.75">
      <c r="A53" s="16"/>
      <c r="B53" s="76" t="s">
        <v>61</v>
      </c>
      <c r="C53" s="77"/>
      <c r="D53" s="76"/>
      <c r="E53" s="78"/>
      <c r="F53" s="78"/>
      <c r="G53" s="78"/>
      <c r="H53" s="79"/>
      <c r="I53" s="80">
        <f>I9+I37+I49</f>
        <v>33645.275</v>
      </c>
    </row>
    <row r="54" spans="1:8" s="65" customFormat="1" ht="12.75">
      <c r="A54" s="59"/>
      <c r="B54" s="60"/>
      <c r="C54" s="61"/>
      <c r="D54" s="60"/>
      <c r="E54" s="60"/>
      <c r="F54" s="60"/>
      <c r="G54" s="62"/>
      <c r="H54" s="63"/>
    </row>
    <row r="55" spans="2:8" ht="12.75">
      <c r="B55" s="12" t="s">
        <v>59</v>
      </c>
      <c r="G55" s="3"/>
      <c r="H55" s="6" t="s">
        <v>6</v>
      </c>
    </row>
    <row r="56" spans="2:9" ht="12.75">
      <c r="B56" s="12" t="s">
        <v>58</v>
      </c>
      <c r="G56" s="3"/>
      <c r="H56" s="150" t="s">
        <v>192</v>
      </c>
      <c r="I56" s="26"/>
    </row>
    <row r="58" ht="12.75">
      <c r="B58" s="12" t="s">
        <v>60</v>
      </c>
    </row>
    <row r="59" ht="12.75">
      <c r="B59" s="150" t="s">
        <v>227</v>
      </c>
    </row>
    <row r="76" ht="12.75">
      <c r="I76" s="73"/>
    </row>
  </sheetData>
  <sheetProtection/>
  <mergeCells count="1">
    <mergeCell ref="B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9">
      <selection activeCell="I54" sqref="I54"/>
    </sheetView>
  </sheetViews>
  <sheetFormatPr defaultColWidth="9.140625" defaultRowHeight="12.75"/>
  <cols>
    <col min="1" max="1" width="3.8515625" style="5" customWidth="1"/>
    <col min="2" max="2" width="34.140625" style="12" customWidth="1"/>
    <col min="3" max="3" width="7.140625" style="42" customWidth="1"/>
    <col min="4" max="4" width="7.00390625" style="6" bestFit="1" customWidth="1"/>
    <col min="5" max="5" width="6.140625" style="6" bestFit="1" customWidth="1"/>
    <col min="6" max="6" width="5.7109375" style="6" customWidth="1"/>
    <col min="7" max="7" width="6.421875" style="6" customWidth="1"/>
    <col min="8" max="8" width="8.7109375" style="6" bestFit="1" customWidth="1"/>
    <col min="9" max="9" width="12.00390625" style="31" customWidth="1"/>
  </cols>
  <sheetData>
    <row r="1" spans="2:9" ht="12.75">
      <c r="B1" s="24" t="s">
        <v>69</v>
      </c>
      <c r="D1" s="4"/>
      <c r="E1" s="4"/>
      <c r="F1" s="4"/>
      <c r="I1" s="74" t="s">
        <v>71</v>
      </c>
    </row>
    <row r="2" spans="2:9" ht="12.75">
      <c r="B2" s="25" t="s">
        <v>70</v>
      </c>
      <c r="D2" s="4"/>
      <c r="E2" s="4"/>
      <c r="F2" s="4"/>
      <c r="G2" s="28"/>
      <c r="H2" s="28"/>
      <c r="I2" s="32"/>
    </row>
    <row r="3" spans="2:9" ht="12.75">
      <c r="B3" s="26"/>
      <c r="G3" s="28"/>
      <c r="H3" s="28"/>
      <c r="I3" s="32"/>
    </row>
    <row r="4" spans="2:9" ht="12.75">
      <c r="B4" s="25" t="s">
        <v>226</v>
      </c>
      <c r="D4" s="4"/>
      <c r="E4" s="4"/>
      <c r="F4" s="4"/>
      <c r="G4" s="28"/>
      <c r="H4" s="28"/>
      <c r="I4" s="32"/>
    </row>
    <row r="5" spans="2:9" ht="12.75">
      <c r="B5" s="26"/>
      <c r="G5" s="28"/>
      <c r="H5" s="28"/>
      <c r="I5" s="32"/>
    </row>
    <row r="6" spans="2:9" ht="12.75">
      <c r="B6" s="176" t="s">
        <v>194</v>
      </c>
      <c r="C6" s="176"/>
      <c r="D6" s="176"/>
      <c r="E6" s="176"/>
      <c r="F6" s="176"/>
      <c r="G6" s="176"/>
      <c r="H6" s="176"/>
      <c r="I6" s="176"/>
    </row>
    <row r="7" spans="7:9" ht="12.75">
      <c r="G7" s="28"/>
      <c r="H7" s="28"/>
      <c r="I7" s="32"/>
    </row>
    <row r="8" spans="1:9" ht="25.5">
      <c r="A8" s="44" t="s">
        <v>68</v>
      </c>
      <c r="B8" s="48" t="s">
        <v>103</v>
      </c>
      <c r="C8" s="45" t="s">
        <v>1</v>
      </c>
      <c r="D8" s="46" t="s">
        <v>63</v>
      </c>
      <c r="E8" s="46" t="s">
        <v>64</v>
      </c>
      <c r="F8" s="46" t="s">
        <v>65</v>
      </c>
      <c r="G8" s="46" t="s">
        <v>66</v>
      </c>
      <c r="H8" s="46" t="s">
        <v>67</v>
      </c>
      <c r="I8" s="47" t="s">
        <v>0</v>
      </c>
    </row>
    <row r="9" spans="1:9" ht="12.75">
      <c r="A9" s="15"/>
      <c r="B9" s="34" t="s">
        <v>161</v>
      </c>
      <c r="C9" s="33"/>
      <c r="D9" s="22"/>
      <c r="E9" s="22"/>
      <c r="F9" s="22"/>
      <c r="G9" s="22"/>
      <c r="H9" s="22"/>
      <c r="I9" s="35">
        <f>SUM(I10:I28)</f>
        <v>61355</v>
      </c>
    </row>
    <row r="10" spans="1:9" ht="12.75">
      <c r="A10" s="7">
        <v>1</v>
      </c>
      <c r="B10" s="2" t="s">
        <v>104</v>
      </c>
      <c r="C10" s="22" t="s">
        <v>108</v>
      </c>
      <c r="D10" s="11">
        <v>5</v>
      </c>
      <c r="E10" s="11">
        <v>1</v>
      </c>
      <c r="F10" s="11"/>
      <c r="G10" s="8"/>
      <c r="H10" s="8"/>
      <c r="I10" s="53">
        <f>(D10+E10+F10+G10)*H10</f>
        <v>0</v>
      </c>
    </row>
    <row r="11" spans="1:9" ht="12.75">
      <c r="A11" s="7">
        <v>2</v>
      </c>
      <c r="B11" s="2" t="s">
        <v>105</v>
      </c>
      <c r="C11" s="22" t="s">
        <v>108</v>
      </c>
      <c r="D11" s="11">
        <v>5</v>
      </c>
      <c r="E11" s="11">
        <v>1</v>
      </c>
      <c r="F11" s="11">
        <v>1</v>
      </c>
      <c r="G11" s="11">
        <v>1</v>
      </c>
      <c r="H11" s="11">
        <v>200</v>
      </c>
      <c r="I11" s="53">
        <f aca="true" t="shared" si="0" ref="I11:I36">(D11+E11+F11+G11)*H11</f>
        <v>1600</v>
      </c>
    </row>
    <row r="12" spans="1:9" ht="12.75">
      <c r="A12" s="7">
        <v>3</v>
      </c>
      <c r="B12" s="2" t="s">
        <v>106</v>
      </c>
      <c r="C12" s="22" t="s">
        <v>108</v>
      </c>
      <c r="D12" s="11">
        <v>2</v>
      </c>
      <c r="E12" s="11">
        <v>2</v>
      </c>
      <c r="F12" s="11"/>
      <c r="G12" s="8"/>
      <c r="H12" s="9">
        <f>200*1.25</f>
        <v>250</v>
      </c>
      <c r="I12" s="53">
        <f t="shared" si="0"/>
        <v>1000</v>
      </c>
    </row>
    <row r="13" spans="1:9" ht="12.75">
      <c r="A13" s="7">
        <v>4</v>
      </c>
      <c r="B13" s="2" t="s">
        <v>107</v>
      </c>
      <c r="C13" s="22" t="s">
        <v>108</v>
      </c>
      <c r="D13" s="11">
        <v>2</v>
      </c>
      <c r="E13" s="11"/>
      <c r="F13" s="11"/>
      <c r="G13" s="8"/>
      <c r="H13" s="9">
        <v>150</v>
      </c>
      <c r="I13" s="53">
        <f t="shared" si="0"/>
        <v>300</v>
      </c>
    </row>
    <row r="14" spans="1:9" ht="12.75">
      <c r="A14" s="7">
        <v>5</v>
      </c>
      <c r="B14" s="2" t="s">
        <v>144</v>
      </c>
      <c r="C14" s="22" t="s">
        <v>108</v>
      </c>
      <c r="D14" s="11">
        <v>3</v>
      </c>
      <c r="E14" s="11"/>
      <c r="F14" s="11"/>
      <c r="G14" s="8"/>
      <c r="H14" s="9">
        <v>200</v>
      </c>
      <c r="I14" s="53">
        <f t="shared" si="0"/>
        <v>600</v>
      </c>
    </row>
    <row r="15" spans="1:9" ht="12.75">
      <c r="A15" s="7">
        <v>6</v>
      </c>
      <c r="B15" s="2" t="s">
        <v>140</v>
      </c>
      <c r="C15" s="22" t="s">
        <v>155</v>
      </c>
      <c r="D15" s="11">
        <v>70</v>
      </c>
      <c r="E15" s="11">
        <v>50</v>
      </c>
      <c r="F15" s="11">
        <v>20</v>
      </c>
      <c r="G15" s="8">
        <v>20</v>
      </c>
      <c r="H15" s="9">
        <v>60</v>
      </c>
      <c r="I15" s="53">
        <f t="shared" si="0"/>
        <v>9600</v>
      </c>
    </row>
    <row r="16" spans="1:9" ht="12.75">
      <c r="A16" s="7">
        <v>7</v>
      </c>
      <c r="B16" s="2" t="s">
        <v>141</v>
      </c>
      <c r="C16" s="22" t="s">
        <v>153</v>
      </c>
      <c r="D16" s="18">
        <v>1</v>
      </c>
      <c r="E16" s="18">
        <v>1</v>
      </c>
      <c r="F16" s="18">
        <v>1</v>
      </c>
      <c r="G16" s="51">
        <v>1</v>
      </c>
      <c r="H16" s="52">
        <v>750</v>
      </c>
      <c r="I16" s="53">
        <f>(D16+E16+F16+G16)*H16</f>
        <v>3000</v>
      </c>
    </row>
    <row r="17" spans="1:9" s="3" customFormat="1" ht="25.5">
      <c r="A17" s="7">
        <v>8</v>
      </c>
      <c r="B17" s="96" t="s">
        <v>158</v>
      </c>
      <c r="C17" s="22" t="s">
        <v>3</v>
      </c>
      <c r="D17" s="18">
        <v>1</v>
      </c>
      <c r="E17" s="18">
        <v>1</v>
      </c>
      <c r="F17" s="18">
        <v>1</v>
      </c>
      <c r="G17" s="51">
        <v>1</v>
      </c>
      <c r="H17" s="52">
        <v>1100</v>
      </c>
      <c r="I17" s="53">
        <f t="shared" si="0"/>
        <v>4400</v>
      </c>
    </row>
    <row r="18" spans="1:9" ht="12.75">
      <c r="A18" s="7">
        <v>9</v>
      </c>
      <c r="B18" s="96" t="s">
        <v>142</v>
      </c>
      <c r="C18" s="22" t="s">
        <v>153</v>
      </c>
      <c r="D18" s="18">
        <v>3</v>
      </c>
      <c r="E18" s="18">
        <v>3</v>
      </c>
      <c r="F18" s="18">
        <v>3</v>
      </c>
      <c r="G18" s="51">
        <v>2</v>
      </c>
      <c r="H18" s="52">
        <v>1100</v>
      </c>
      <c r="I18" s="53">
        <f t="shared" si="0"/>
        <v>12100</v>
      </c>
    </row>
    <row r="19" spans="1:9" ht="12.75">
      <c r="A19" s="7">
        <v>10</v>
      </c>
      <c r="B19" s="95" t="s">
        <v>157</v>
      </c>
      <c r="C19" s="22" t="s">
        <v>108</v>
      </c>
      <c r="D19" s="18">
        <v>1</v>
      </c>
      <c r="E19" s="18">
        <v>1</v>
      </c>
      <c r="F19" s="18">
        <v>1</v>
      </c>
      <c r="G19" s="51">
        <v>1</v>
      </c>
      <c r="H19" s="52">
        <v>150</v>
      </c>
      <c r="I19" s="53">
        <f t="shared" si="0"/>
        <v>600</v>
      </c>
    </row>
    <row r="20" spans="1:9" ht="12.75">
      <c r="A20" s="7">
        <v>11</v>
      </c>
      <c r="B20" s="2" t="s">
        <v>143</v>
      </c>
      <c r="C20" s="22" t="s">
        <v>160</v>
      </c>
      <c r="D20" s="18">
        <v>0.5</v>
      </c>
      <c r="E20" s="18">
        <v>0.3</v>
      </c>
      <c r="F20" s="18">
        <v>0.1</v>
      </c>
      <c r="G20" s="51">
        <v>0.1</v>
      </c>
      <c r="H20" s="52">
        <v>4000</v>
      </c>
      <c r="I20" s="53">
        <f t="shared" si="0"/>
        <v>4000</v>
      </c>
    </row>
    <row r="21" spans="1:9" ht="12.75">
      <c r="A21" s="7">
        <v>12</v>
      </c>
      <c r="B21" s="2" t="s">
        <v>159</v>
      </c>
      <c r="C21" s="22" t="s">
        <v>160</v>
      </c>
      <c r="D21" s="18">
        <v>0.5</v>
      </c>
      <c r="E21" s="18">
        <v>0.3</v>
      </c>
      <c r="F21" s="18">
        <v>0.1</v>
      </c>
      <c r="G21" s="51">
        <v>0.1</v>
      </c>
      <c r="H21" s="52">
        <v>4000</v>
      </c>
      <c r="I21" s="53">
        <f t="shared" si="0"/>
        <v>4000</v>
      </c>
    </row>
    <row r="22" spans="1:9" ht="12.75">
      <c r="A22" s="7">
        <v>13</v>
      </c>
      <c r="B22" s="2" t="s">
        <v>145</v>
      </c>
      <c r="C22" s="22" t="s">
        <v>160</v>
      </c>
      <c r="D22" s="75">
        <v>7</v>
      </c>
      <c r="E22" s="75">
        <v>5</v>
      </c>
      <c r="F22" s="75">
        <v>2</v>
      </c>
      <c r="G22" s="51">
        <v>2</v>
      </c>
      <c r="H22" s="52">
        <v>500</v>
      </c>
      <c r="I22" s="53">
        <f t="shared" si="0"/>
        <v>8000</v>
      </c>
    </row>
    <row r="23" spans="1:9" ht="12.75">
      <c r="A23" s="7">
        <v>14</v>
      </c>
      <c r="B23" s="2" t="s">
        <v>146</v>
      </c>
      <c r="C23" s="22" t="s">
        <v>156</v>
      </c>
      <c r="D23" s="75">
        <v>2</v>
      </c>
      <c r="E23" s="75">
        <v>2</v>
      </c>
      <c r="F23" s="75">
        <v>2</v>
      </c>
      <c r="G23" s="51">
        <v>2</v>
      </c>
      <c r="H23" s="52">
        <v>875</v>
      </c>
      <c r="I23" s="53">
        <f>H23*2</f>
        <v>1750</v>
      </c>
    </row>
    <row r="24" spans="1:9" ht="12.75">
      <c r="A24" s="7">
        <v>15</v>
      </c>
      <c r="B24" s="2" t="s">
        <v>147</v>
      </c>
      <c r="C24" s="22" t="s">
        <v>150</v>
      </c>
      <c r="D24" s="75">
        <v>12</v>
      </c>
      <c r="E24" s="75"/>
      <c r="F24" s="75"/>
      <c r="G24" s="51"/>
      <c r="H24" s="52">
        <f>400*1.25</f>
        <v>500</v>
      </c>
      <c r="I24" s="53">
        <f t="shared" si="0"/>
        <v>6000</v>
      </c>
    </row>
    <row r="25" spans="1:9" ht="12.75">
      <c r="A25" s="7">
        <v>17</v>
      </c>
      <c r="B25" s="2" t="s">
        <v>189</v>
      </c>
      <c r="C25" s="22" t="s">
        <v>149</v>
      </c>
      <c r="D25" s="75">
        <v>8</v>
      </c>
      <c r="E25" s="75"/>
      <c r="F25" s="75"/>
      <c r="G25" s="51"/>
      <c r="H25" s="52">
        <v>500</v>
      </c>
      <c r="I25" s="53">
        <f t="shared" si="0"/>
        <v>4000</v>
      </c>
    </row>
    <row r="26" spans="1:9" ht="12.75">
      <c r="A26" s="7">
        <v>18</v>
      </c>
      <c r="B26" s="2" t="s">
        <v>152</v>
      </c>
      <c r="C26" s="22" t="s">
        <v>108</v>
      </c>
      <c r="D26" s="18">
        <v>1</v>
      </c>
      <c r="E26" s="18"/>
      <c r="F26" s="18"/>
      <c r="G26" s="51"/>
      <c r="H26" s="52">
        <v>200</v>
      </c>
      <c r="I26" s="53">
        <f t="shared" si="0"/>
        <v>200</v>
      </c>
    </row>
    <row r="27" spans="1:9" ht="12.75">
      <c r="A27" s="7">
        <v>19</v>
      </c>
      <c r="B27" s="2" t="s">
        <v>154</v>
      </c>
      <c r="C27" s="22" t="s">
        <v>3</v>
      </c>
      <c r="D27" s="75">
        <v>1</v>
      </c>
      <c r="E27" s="75"/>
      <c r="F27" s="75"/>
      <c r="G27" s="51"/>
      <c r="H27" s="52">
        <v>205</v>
      </c>
      <c r="I27" s="53">
        <f t="shared" si="0"/>
        <v>205</v>
      </c>
    </row>
    <row r="28" spans="1:9" ht="12.75">
      <c r="A28" s="7"/>
      <c r="B28" s="2"/>
      <c r="C28" s="22"/>
      <c r="D28" s="18"/>
      <c r="E28" s="18"/>
      <c r="F28" s="18"/>
      <c r="G28" s="51"/>
      <c r="H28" s="52"/>
      <c r="I28" s="30"/>
    </row>
    <row r="29" spans="1:9" ht="12.75">
      <c r="A29" s="7"/>
      <c r="B29" s="36" t="s">
        <v>177</v>
      </c>
      <c r="C29" s="23"/>
      <c r="D29" s="21"/>
      <c r="E29" s="21"/>
      <c r="F29" s="21"/>
      <c r="G29" s="41"/>
      <c r="H29" s="97"/>
      <c r="I29" s="39">
        <f>I30</f>
        <v>10638</v>
      </c>
    </row>
    <row r="30" spans="1:9" ht="12.75">
      <c r="A30" s="7"/>
      <c r="B30" s="2" t="s">
        <v>178</v>
      </c>
      <c r="C30" s="22" t="s">
        <v>169</v>
      </c>
      <c r="D30" s="18">
        <v>0.5</v>
      </c>
      <c r="E30" s="18">
        <v>0.3</v>
      </c>
      <c r="F30" s="18">
        <v>0.1</v>
      </c>
      <c r="G30" s="51">
        <v>0.1</v>
      </c>
      <c r="H30" s="52">
        <v>10638</v>
      </c>
      <c r="I30" s="53">
        <f t="shared" si="0"/>
        <v>10638</v>
      </c>
    </row>
    <row r="31" spans="1:9" ht="12.75">
      <c r="A31" s="7"/>
      <c r="B31" s="2"/>
      <c r="C31" s="22"/>
      <c r="D31" s="18"/>
      <c r="E31" s="18"/>
      <c r="F31" s="18"/>
      <c r="G31" s="51"/>
      <c r="H31" s="52"/>
      <c r="I31" s="30"/>
    </row>
    <row r="32" spans="1:9" ht="12.75">
      <c r="A32" s="7"/>
      <c r="B32" s="36" t="s">
        <v>187</v>
      </c>
      <c r="C32" s="23" t="s">
        <v>169</v>
      </c>
      <c r="D32" s="21"/>
      <c r="E32" s="21"/>
      <c r="F32" s="21"/>
      <c r="G32" s="41"/>
      <c r="H32" s="97"/>
      <c r="I32" s="39">
        <f>I33</f>
        <v>12043</v>
      </c>
    </row>
    <row r="33" spans="1:9" ht="12.75">
      <c r="A33" s="7"/>
      <c r="B33" s="2" t="s">
        <v>188</v>
      </c>
      <c r="C33" s="22"/>
      <c r="D33" s="18">
        <v>0.5</v>
      </c>
      <c r="E33" s="18">
        <v>0.3</v>
      </c>
      <c r="F33" s="18">
        <v>0.1</v>
      </c>
      <c r="G33" s="51">
        <v>0.1</v>
      </c>
      <c r="H33" s="52">
        <v>12043</v>
      </c>
      <c r="I33" s="53">
        <f>H33</f>
        <v>12043</v>
      </c>
    </row>
    <row r="34" spans="1:9" ht="12.75">
      <c r="A34" s="7"/>
      <c r="B34" s="2"/>
      <c r="C34" s="22"/>
      <c r="D34" s="18"/>
      <c r="E34" s="18"/>
      <c r="F34" s="18"/>
      <c r="G34" s="51"/>
      <c r="H34" s="52"/>
      <c r="I34" s="30"/>
    </row>
    <row r="35" spans="1:9" ht="12.75">
      <c r="A35" s="7"/>
      <c r="B35" s="2"/>
      <c r="C35" s="22"/>
      <c r="D35" s="10"/>
      <c r="E35" s="10"/>
      <c r="F35" s="10"/>
      <c r="G35" s="8"/>
      <c r="H35" s="9"/>
      <c r="I35" s="30">
        <f t="shared" si="0"/>
        <v>0</v>
      </c>
    </row>
    <row r="36" spans="1:9" ht="12.75">
      <c r="A36" s="7"/>
      <c r="B36" s="2"/>
      <c r="C36" s="22"/>
      <c r="D36" s="11"/>
      <c r="E36" s="11"/>
      <c r="F36" s="11"/>
      <c r="G36" s="8"/>
      <c r="H36" s="9"/>
      <c r="I36" s="30">
        <f t="shared" si="0"/>
        <v>0</v>
      </c>
    </row>
    <row r="37" spans="1:9" s="13" customFormat="1" ht="12.75">
      <c r="A37" s="16"/>
      <c r="B37" s="36" t="s">
        <v>162</v>
      </c>
      <c r="C37" s="23"/>
      <c r="D37" s="20"/>
      <c r="E37" s="20"/>
      <c r="F37" s="20"/>
      <c r="G37" s="41"/>
      <c r="H37" s="97"/>
      <c r="I37" s="39">
        <f>SUM(I38:I53)</f>
        <v>313559.88</v>
      </c>
    </row>
    <row r="38" spans="1:9" ht="12.75">
      <c r="A38" s="7">
        <v>20</v>
      </c>
      <c r="B38" s="2" t="s">
        <v>163</v>
      </c>
      <c r="C38" s="22" t="s">
        <v>165</v>
      </c>
      <c r="D38" s="75">
        <v>0.5</v>
      </c>
      <c r="E38" s="75">
        <v>0.3</v>
      </c>
      <c r="F38" s="75">
        <v>0.1</v>
      </c>
      <c r="G38" s="51">
        <v>0.1</v>
      </c>
      <c r="H38" s="9">
        <v>24000</v>
      </c>
      <c r="I38" s="53">
        <f>H38</f>
        <v>24000</v>
      </c>
    </row>
    <row r="39" spans="1:9" ht="12.75">
      <c r="A39" s="7">
        <v>21</v>
      </c>
      <c r="B39" s="2" t="s">
        <v>132</v>
      </c>
      <c r="C39" s="22" t="s">
        <v>165</v>
      </c>
      <c r="D39" s="75">
        <v>0.5</v>
      </c>
      <c r="E39" s="75">
        <v>0.3</v>
      </c>
      <c r="F39" s="75">
        <v>0.1</v>
      </c>
      <c r="G39" s="51">
        <v>0.1</v>
      </c>
      <c r="H39" s="9">
        <v>2000</v>
      </c>
      <c r="I39" s="53">
        <f>H39</f>
        <v>2000</v>
      </c>
    </row>
    <row r="40" spans="1:9" ht="12.75">
      <c r="A40" s="7">
        <v>22</v>
      </c>
      <c r="B40" s="2" t="s">
        <v>164</v>
      </c>
      <c r="C40" s="22" t="s">
        <v>165</v>
      </c>
      <c r="D40" s="1">
        <v>0.5</v>
      </c>
      <c r="E40" s="1">
        <v>0.3</v>
      </c>
      <c r="F40" s="1">
        <v>0.1</v>
      </c>
      <c r="G40" s="8">
        <v>0.1</v>
      </c>
      <c r="H40" s="9">
        <v>109696</v>
      </c>
      <c r="I40" s="53">
        <f>H40</f>
        <v>109696</v>
      </c>
    </row>
    <row r="41" spans="1:9" ht="12.75">
      <c r="A41" s="7">
        <v>23</v>
      </c>
      <c r="B41" s="2" t="s">
        <v>166</v>
      </c>
      <c r="C41" s="22" t="s">
        <v>165</v>
      </c>
      <c r="D41" s="75">
        <v>0.5</v>
      </c>
      <c r="E41" s="75">
        <v>0.3</v>
      </c>
      <c r="F41" s="75">
        <v>0.1</v>
      </c>
      <c r="G41" s="51">
        <v>0.1</v>
      </c>
      <c r="H41" s="9">
        <v>6000</v>
      </c>
      <c r="I41" s="53">
        <f>H41</f>
        <v>6000</v>
      </c>
    </row>
    <row r="42" spans="1:9" ht="12.75">
      <c r="A42" s="7">
        <v>24</v>
      </c>
      <c r="B42" s="2" t="s">
        <v>148</v>
      </c>
      <c r="C42" s="22" t="s">
        <v>165</v>
      </c>
      <c r="D42" s="75">
        <v>0.5</v>
      </c>
      <c r="E42" s="75">
        <v>0.3</v>
      </c>
      <c r="F42" s="75">
        <v>0.1</v>
      </c>
      <c r="G42" s="51">
        <v>0.1</v>
      </c>
      <c r="H42" s="52">
        <v>109193</v>
      </c>
      <c r="I42" s="53">
        <f>H42</f>
        <v>109193</v>
      </c>
    </row>
    <row r="43" spans="1:9" ht="12.75">
      <c r="A43" s="7">
        <v>25</v>
      </c>
      <c r="B43" s="2" t="s">
        <v>167</v>
      </c>
      <c r="C43" s="22" t="s">
        <v>169</v>
      </c>
      <c r="D43" s="18">
        <v>1</v>
      </c>
      <c r="E43" s="18"/>
      <c r="F43" s="18"/>
      <c r="G43" s="51"/>
      <c r="H43" s="52">
        <v>1300</v>
      </c>
      <c r="I43" s="53">
        <v>800</v>
      </c>
    </row>
    <row r="44" spans="1:9" ht="12.75">
      <c r="A44" s="7">
        <v>26</v>
      </c>
      <c r="B44" s="50" t="s">
        <v>168</v>
      </c>
      <c r="C44" s="22" t="s">
        <v>169</v>
      </c>
      <c r="D44" s="75">
        <v>1</v>
      </c>
      <c r="E44" s="75"/>
      <c r="F44" s="75"/>
      <c r="G44" s="51"/>
      <c r="H44" s="52">
        <v>250</v>
      </c>
      <c r="I44" s="53">
        <f aca="true" t="shared" si="1" ref="I44:I51">(D44+E44+F44+G44)*H44</f>
        <v>250</v>
      </c>
    </row>
    <row r="45" spans="1:9" ht="12.75">
      <c r="A45" s="7">
        <v>27</v>
      </c>
      <c r="B45" s="2" t="s">
        <v>170</v>
      </c>
      <c r="C45" s="22" t="s">
        <v>169</v>
      </c>
      <c r="D45" s="11">
        <v>1</v>
      </c>
      <c r="E45" s="11"/>
      <c r="F45" s="11"/>
      <c r="G45" s="8"/>
      <c r="H45" s="9">
        <v>500</v>
      </c>
      <c r="I45" s="53">
        <f t="shared" si="1"/>
        <v>500</v>
      </c>
    </row>
    <row r="46" spans="1:9" ht="12.75">
      <c r="A46" s="7">
        <v>28</v>
      </c>
      <c r="B46" s="2" t="s">
        <v>171</v>
      </c>
      <c r="C46" s="22" t="s">
        <v>169</v>
      </c>
      <c r="D46" s="11">
        <v>0.5</v>
      </c>
      <c r="E46" s="11">
        <v>0.3</v>
      </c>
      <c r="F46" s="11">
        <v>0.1</v>
      </c>
      <c r="G46" s="8">
        <v>0.1</v>
      </c>
      <c r="H46" s="9">
        <v>8900</v>
      </c>
      <c r="I46" s="53">
        <f t="shared" si="1"/>
        <v>8900</v>
      </c>
    </row>
    <row r="47" spans="1:9" ht="12.75">
      <c r="A47" s="7">
        <v>29</v>
      </c>
      <c r="B47" s="2" t="s">
        <v>172</v>
      </c>
      <c r="C47" s="22" t="s">
        <v>3</v>
      </c>
      <c r="D47" s="1">
        <v>0</v>
      </c>
      <c r="E47" s="1">
        <v>1</v>
      </c>
      <c r="F47" s="1">
        <v>1</v>
      </c>
      <c r="G47" s="8">
        <v>1</v>
      </c>
      <c r="H47" s="9">
        <v>170</v>
      </c>
      <c r="I47" s="53">
        <f t="shared" si="1"/>
        <v>510</v>
      </c>
    </row>
    <row r="48" spans="1:9" ht="12.75">
      <c r="A48" s="7">
        <v>30</v>
      </c>
      <c r="B48" s="2" t="s">
        <v>173</v>
      </c>
      <c r="C48" s="22" t="s">
        <v>3</v>
      </c>
      <c r="D48" s="1">
        <v>0</v>
      </c>
      <c r="E48" s="1"/>
      <c r="F48" s="1"/>
      <c r="G48" s="8"/>
      <c r="H48" s="9">
        <v>200</v>
      </c>
      <c r="I48" s="53">
        <f t="shared" si="1"/>
        <v>0</v>
      </c>
    </row>
    <row r="49" spans="1:9" ht="12.75">
      <c r="A49" s="7">
        <v>31</v>
      </c>
      <c r="B49" s="2" t="s">
        <v>174</v>
      </c>
      <c r="C49" s="22" t="s">
        <v>3</v>
      </c>
      <c r="D49" s="11">
        <v>1</v>
      </c>
      <c r="E49" s="11"/>
      <c r="F49" s="11"/>
      <c r="G49" s="8"/>
      <c r="H49" s="9">
        <v>300</v>
      </c>
      <c r="I49" s="53">
        <f t="shared" si="1"/>
        <v>300</v>
      </c>
    </row>
    <row r="50" spans="1:9" ht="12.75">
      <c r="A50" s="7">
        <v>32</v>
      </c>
      <c r="B50" s="2" t="s">
        <v>175</v>
      </c>
      <c r="C50" s="22" t="s">
        <v>169</v>
      </c>
      <c r="D50" s="11">
        <v>12</v>
      </c>
      <c r="E50" s="11"/>
      <c r="F50" s="11"/>
      <c r="G50" s="8"/>
      <c r="H50" s="9">
        <v>534.24</v>
      </c>
      <c r="I50" s="53">
        <f t="shared" si="1"/>
        <v>6410.88</v>
      </c>
    </row>
    <row r="51" spans="1:9" ht="12.75">
      <c r="A51" s="7">
        <v>33</v>
      </c>
      <c r="B51" s="2" t="s">
        <v>176</v>
      </c>
      <c r="C51" s="22" t="s">
        <v>169</v>
      </c>
      <c r="D51" s="11">
        <v>0.5</v>
      </c>
      <c r="E51" s="11">
        <v>0.3</v>
      </c>
      <c r="F51" s="11">
        <v>0.1</v>
      </c>
      <c r="G51" s="8">
        <v>0.1</v>
      </c>
      <c r="H51" s="9">
        <v>18500</v>
      </c>
      <c r="I51" s="53">
        <f t="shared" si="1"/>
        <v>18500</v>
      </c>
    </row>
    <row r="52" spans="1:9" ht="12.75">
      <c r="A52" s="7">
        <v>34</v>
      </c>
      <c r="B52" s="2" t="s">
        <v>181</v>
      </c>
      <c r="C52" s="22"/>
      <c r="D52" s="1">
        <v>3</v>
      </c>
      <c r="E52" s="1">
        <v>3</v>
      </c>
      <c r="F52" s="1">
        <v>3</v>
      </c>
      <c r="G52" s="8">
        <v>3</v>
      </c>
      <c r="H52" s="9">
        <f>2000</f>
        <v>2000</v>
      </c>
      <c r="I52" s="53">
        <f>(D52+E52+F52+G52)*H52+2500</f>
        <v>26500</v>
      </c>
    </row>
    <row r="53" spans="1:9" ht="12.75">
      <c r="A53" s="49"/>
      <c r="B53" s="2"/>
      <c r="C53" s="22"/>
      <c r="D53" s="1"/>
      <c r="E53" s="1"/>
      <c r="F53" s="1"/>
      <c r="G53" s="8"/>
      <c r="H53" s="9"/>
      <c r="I53" s="53">
        <f>(D53+E53+F53+G53)*H53</f>
        <v>0</v>
      </c>
    </row>
    <row r="54" spans="1:9" ht="12.75">
      <c r="A54" s="156"/>
      <c r="B54" s="77" t="s">
        <v>61</v>
      </c>
      <c r="C54" s="157"/>
      <c r="D54" s="178"/>
      <c r="E54" s="178"/>
      <c r="F54" s="178"/>
      <c r="G54" s="178"/>
      <c r="H54" s="178"/>
      <c r="I54" s="80">
        <f>I9+I29+I32+I37</f>
        <v>397595.88</v>
      </c>
    </row>
    <row r="55" ht="12.75">
      <c r="A55" s="14"/>
    </row>
    <row r="56" spans="2:7" ht="12.75">
      <c r="B56" s="12" t="s">
        <v>59</v>
      </c>
      <c r="G56" s="6" t="s">
        <v>6</v>
      </c>
    </row>
    <row r="57" spans="2:9" ht="12.75">
      <c r="B57" s="12" t="s">
        <v>58</v>
      </c>
      <c r="G57" s="12" t="s">
        <v>192</v>
      </c>
      <c r="H57" s="12"/>
      <c r="I57" s="12"/>
    </row>
    <row r="58" ht="12.75">
      <c r="H58" s="12"/>
    </row>
    <row r="59" ht="12.75">
      <c r="B59" s="12" t="s">
        <v>60</v>
      </c>
    </row>
    <row r="60" ht="12.75">
      <c r="B60" s="150" t="s">
        <v>227</v>
      </c>
    </row>
    <row r="78" ht="12.75">
      <c r="I78" s="73"/>
    </row>
  </sheetData>
  <sheetProtection/>
  <mergeCells count="2">
    <mergeCell ref="B6:I6"/>
    <mergeCell ref="D54:H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7">
      <selection activeCell="F5" sqref="F5"/>
    </sheetView>
  </sheetViews>
  <sheetFormatPr defaultColWidth="9.140625" defaultRowHeight="12.75"/>
  <cols>
    <col min="1" max="1" width="3.8515625" style="149" customWidth="1"/>
    <col min="2" max="2" width="32.140625" style="150" customWidth="1"/>
    <col min="3" max="3" width="6.00390625" style="42" customWidth="1"/>
    <col min="4" max="4" width="7.00390625" style="6" bestFit="1" customWidth="1"/>
    <col min="5" max="5" width="6.140625" style="6" bestFit="1" customWidth="1"/>
    <col min="6" max="6" width="5.7109375" style="6" customWidth="1"/>
    <col min="7" max="7" width="6.421875" style="6" customWidth="1"/>
    <col min="8" max="8" width="7.421875" style="6" customWidth="1"/>
    <col min="9" max="9" width="12.00390625" style="31" customWidth="1"/>
    <col min="10" max="12" width="9.140625" style="107" customWidth="1"/>
    <col min="13" max="13" width="26.00390625" style="107" customWidth="1"/>
    <col min="14" max="14" width="27.28125" style="107" customWidth="1"/>
    <col min="15" max="15" width="30.57421875" style="107" customWidth="1"/>
    <col min="16" max="16" width="17.421875" style="107" customWidth="1"/>
    <col min="17" max="16384" width="9.140625" style="107" customWidth="1"/>
  </cols>
  <sheetData>
    <row r="1" spans="2:9" ht="12.75">
      <c r="B1" s="24" t="s">
        <v>69</v>
      </c>
      <c r="D1" s="4"/>
      <c r="E1" s="4"/>
      <c r="F1" s="4"/>
      <c r="I1" s="74" t="s">
        <v>71</v>
      </c>
    </row>
    <row r="2" spans="2:9" ht="12.75">
      <c r="B2" s="25" t="s">
        <v>70</v>
      </c>
      <c r="D2" s="4"/>
      <c r="E2" s="4"/>
      <c r="F2" s="4"/>
      <c r="G2" s="28"/>
      <c r="H2" s="28"/>
      <c r="I2" s="32"/>
    </row>
    <row r="3" spans="2:9" ht="12.75">
      <c r="B3" s="26"/>
      <c r="G3" s="28"/>
      <c r="H3" s="28"/>
      <c r="I3" s="32"/>
    </row>
    <row r="4" spans="2:9" ht="12.75">
      <c r="B4" s="25" t="s">
        <v>226</v>
      </c>
      <c r="D4" s="4"/>
      <c r="E4" s="4"/>
      <c r="F4" s="4"/>
      <c r="G4" s="28"/>
      <c r="H4" s="28"/>
      <c r="I4" s="32"/>
    </row>
    <row r="5" spans="2:9" ht="10.5" customHeight="1">
      <c r="B5" s="26"/>
      <c r="G5" s="28"/>
      <c r="H5" s="28"/>
      <c r="I5" s="32"/>
    </row>
    <row r="6" spans="2:9" ht="10.5" customHeight="1">
      <c r="B6" s="176" t="s">
        <v>194</v>
      </c>
      <c r="C6" s="176"/>
      <c r="D6" s="176"/>
      <c r="E6" s="176"/>
      <c r="F6" s="176"/>
      <c r="G6" s="176"/>
      <c r="H6" s="176"/>
      <c r="I6" s="176"/>
    </row>
    <row r="7" spans="7:9" ht="9" customHeight="1">
      <c r="G7" s="28"/>
      <c r="H7" s="28"/>
      <c r="I7" s="32"/>
    </row>
    <row r="8" spans="1:9" s="148" customFormat="1" ht="38.25">
      <c r="A8" s="44" t="s">
        <v>68</v>
      </c>
      <c r="B8" s="48" t="s">
        <v>62</v>
      </c>
      <c r="C8" s="45" t="s">
        <v>1</v>
      </c>
      <c r="D8" s="46" t="s">
        <v>63</v>
      </c>
      <c r="E8" s="46" t="s">
        <v>64</v>
      </c>
      <c r="F8" s="46" t="s">
        <v>65</v>
      </c>
      <c r="G8" s="46" t="s">
        <v>66</v>
      </c>
      <c r="H8" s="46" t="s">
        <v>67</v>
      </c>
      <c r="I8" s="47" t="s">
        <v>0</v>
      </c>
    </row>
    <row r="9" spans="1:9" ht="12.75">
      <c r="A9" s="151"/>
      <c r="B9" s="34" t="s">
        <v>127</v>
      </c>
      <c r="C9" s="33"/>
      <c r="D9" s="22"/>
      <c r="E9" s="22"/>
      <c r="F9" s="22"/>
      <c r="G9" s="22"/>
      <c r="H9" s="22"/>
      <c r="I9" s="35">
        <f>SUM(I10:I36)</f>
        <v>11845.3875</v>
      </c>
    </row>
    <row r="10" spans="1:9" ht="12.75">
      <c r="A10" s="152">
        <v>1</v>
      </c>
      <c r="B10" s="2" t="s">
        <v>112</v>
      </c>
      <c r="C10" s="22" t="s">
        <v>3</v>
      </c>
      <c r="D10" s="11">
        <v>12</v>
      </c>
      <c r="E10" s="11">
        <v>4</v>
      </c>
      <c r="F10" s="75">
        <v>9</v>
      </c>
      <c r="G10" s="51">
        <v>9</v>
      </c>
      <c r="H10" s="8">
        <f>13.76*1.25</f>
        <v>17.2</v>
      </c>
      <c r="I10" s="30">
        <f>(D10+E10+F10+G10)*H10</f>
        <v>584.8</v>
      </c>
    </row>
    <row r="11" spans="1:9" ht="12.75">
      <c r="A11" s="152">
        <v>2</v>
      </c>
      <c r="B11" s="2" t="s">
        <v>113</v>
      </c>
      <c r="C11" s="22" t="s">
        <v>3</v>
      </c>
      <c r="D11" s="11">
        <v>5</v>
      </c>
      <c r="E11" s="11">
        <v>3</v>
      </c>
      <c r="F11" s="75"/>
      <c r="G11" s="75">
        <v>9</v>
      </c>
      <c r="H11" s="11">
        <f>18.08*1.25</f>
        <v>22.599999999999998</v>
      </c>
      <c r="I11" s="30">
        <f aca="true" t="shared" si="0" ref="I11:I28">(D11+E11+F11+G11)*H11</f>
        <v>384.2</v>
      </c>
    </row>
    <row r="12" spans="1:9" ht="12.75">
      <c r="A12" s="152">
        <v>3</v>
      </c>
      <c r="B12" s="2" t="s">
        <v>114</v>
      </c>
      <c r="C12" s="22" t="s">
        <v>17</v>
      </c>
      <c r="D12" s="11">
        <v>7</v>
      </c>
      <c r="E12" s="11">
        <v>5</v>
      </c>
      <c r="F12" s="75">
        <v>4</v>
      </c>
      <c r="G12" s="51">
        <v>9</v>
      </c>
      <c r="H12" s="9">
        <f>15.19*1.25</f>
        <v>18.9875</v>
      </c>
      <c r="I12" s="30">
        <f t="shared" si="0"/>
        <v>474.6875</v>
      </c>
    </row>
    <row r="13" spans="1:9" ht="12.75">
      <c r="A13" s="152">
        <v>4</v>
      </c>
      <c r="B13" s="2" t="s">
        <v>130</v>
      </c>
      <c r="C13" s="22" t="s">
        <v>3</v>
      </c>
      <c r="D13" s="11">
        <v>20</v>
      </c>
      <c r="E13" s="11">
        <v>13</v>
      </c>
      <c r="F13" s="75">
        <v>9</v>
      </c>
      <c r="G13" s="51">
        <v>13</v>
      </c>
      <c r="H13" s="9">
        <f>11*1.25</f>
        <v>13.75</v>
      </c>
      <c r="I13" s="30">
        <f t="shared" si="0"/>
        <v>756.25</v>
      </c>
    </row>
    <row r="14" spans="1:9" ht="12.75">
      <c r="A14" s="152">
        <v>11</v>
      </c>
      <c r="B14" s="2" t="s">
        <v>123</v>
      </c>
      <c r="C14" s="22" t="s">
        <v>2</v>
      </c>
      <c r="D14" s="18">
        <v>8</v>
      </c>
      <c r="E14" s="18"/>
      <c r="F14" s="18"/>
      <c r="G14" s="51"/>
      <c r="H14" s="52">
        <f>15*1.25</f>
        <v>18.75</v>
      </c>
      <c r="I14" s="30">
        <f t="shared" si="0"/>
        <v>150</v>
      </c>
    </row>
    <row r="15" spans="1:9" s="13" customFormat="1" ht="12.75">
      <c r="A15" s="152">
        <v>12</v>
      </c>
      <c r="B15" s="2" t="s">
        <v>119</v>
      </c>
      <c r="C15" s="22" t="s">
        <v>3</v>
      </c>
      <c r="D15" s="18">
        <v>5</v>
      </c>
      <c r="E15" s="18"/>
      <c r="F15" s="18"/>
      <c r="G15" s="51"/>
      <c r="H15" s="52">
        <f>15*1.25</f>
        <v>18.75</v>
      </c>
      <c r="I15" s="30">
        <f t="shared" si="0"/>
        <v>93.75</v>
      </c>
    </row>
    <row r="16" spans="1:9" ht="12.75">
      <c r="A16" s="152">
        <v>13</v>
      </c>
      <c r="B16" s="2" t="s">
        <v>115</v>
      </c>
      <c r="C16" s="22" t="s">
        <v>3</v>
      </c>
      <c r="D16" s="75">
        <v>9</v>
      </c>
      <c r="E16" s="75">
        <v>3</v>
      </c>
      <c r="F16" s="75">
        <v>1</v>
      </c>
      <c r="G16" s="51">
        <v>1</v>
      </c>
      <c r="H16" s="52">
        <f>15*1.25</f>
        <v>18.75</v>
      </c>
      <c r="I16" s="30">
        <f t="shared" si="0"/>
        <v>262.5</v>
      </c>
    </row>
    <row r="17" spans="1:9" ht="12.75">
      <c r="A17" s="152">
        <v>14</v>
      </c>
      <c r="B17" s="2" t="s">
        <v>217</v>
      </c>
      <c r="C17" s="22" t="s">
        <v>3</v>
      </c>
      <c r="D17" s="75">
        <v>9</v>
      </c>
      <c r="E17" s="75">
        <v>3</v>
      </c>
      <c r="F17" s="75">
        <v>3</v>
      </c>
      <c r="G17" s="51">
        <v>3</v>
      </c>
      <c r="H17" s="52">
        <f>14.8*1.25</f>
        <v>18.5</v>
      </c>
      <c r="I17" s="30">
        <f t="shared" si="0"/>
        <v>333</v>
      </c>
    </row>
    <row r="18" spans="1:9" ht="12.75">
      <c r="A18" s="152">
        <v>16</v>
      </c>
      <c r="B18" s="2" t="s">
        <v>116</v>
      </c>
      <c r="C18" s="22" t="s">
        <v>17</v>
      </c>
      <c r="D18" s="75">
        <v>5</v>
      </c>
      <c r="E18" s="75">
        <v>2</v>
      </c>
      <c r="F18" s="75">
        <v>1</v>
      </c>
      <c r="G18" s="51">
        <v>1</v>
      </c>
      <c r="H18" s="52">
        <f>145*1.25</f>
        <v>181.25</v>
      </c>
      <c r="I18" s="30">
        <f t="shared" si="0"/>
        <v>1631.25</v>
      </c>
    </row>
    <row r="19" spans="1:9" ht="12.75">
      <c r="A19" s="152">
        <v>17</v>
      </c>
      <c r="B19" s="2" t="s">
        <v>117</v>
      </c>
      <c r="C19" s="22" t="s">
        <v>3</v>
      </c>
      <c r="D19" s="75">
        <v>4</v>
      </c>
      <c r="E19" s="75">
        <v>3</v>
      </c>
      <c r="F19" s="75">
        <v>1</v>
      </c>
      <c r="G19" s="51">
        <v>1</v>
      </c>
      <c r="H19" s="52">
        <f>10*1.25</f>
        <v>12.5</v>
      </c>
      <c r="I19" s="30">
        <f t="shared" si="0"/>
        <v>112.5</v>
      </c>
    </row>
    <row r="20" spans="1:9" ht="12.75">
      <c r="A20" s="152">
        <v>18</v>
      </c>
      <c r="B20" s="2" t="s">
        <v>118</v>
      </c>
      <c r="C20" s="22" t="s">
        <v>3</v>
      </c>
      <c r="D20" s="18">
        <v>3</v>
      </c>
      <c r="E20" s="18">
        <v>2</v>
      </c>
      <c r="F20" s="18">
        <v>1</v>
      </c>
      <c r="G20" s="51">
        <v>1</v>
      </c>
      <c r="H20" s="52">
        <v>5</v>
      </c>
      <c r="I20" s="30">
        <f t="shared" si="0"/>
        <v>35</v>
      </c>
    </row>
    <row r="21" spans="1:9" ht="12.75">
      <c r="A21" s="152">
        <v>19</v>
      </c>
      <c r="B21" s="2" t="s">
        <v>120</v>
      </c>
      <c r="C21" s="22" t="s">
        <v>3</v>
      </c>
      <c r="D21" s="75">
        <v>7</v>
      </c>
      <c r="E21" s="75">
        <v>3</v>
      </c>
      <c r="F21" s="75">
        <v>3</v>
      </c>
      <c r="G21" s="51">
        <v>3</v>
      </c>
      <c r="H21" s="52">
        <f>18*1.25</f>
        <v>22.5</v>
      </c>
      <c r="I21" s="30">
        <f t="shared" si="0"/>
        <v>360</v>
      </c>
    </row>
    <row r="22" spans="1:17" s="13" customFormat="1" ht="12.75">
      <c r="A22" s="152">
        <v>20</v>
      </c>
      <c r="B22" s="2" t="s">
        <v>122</v>
      </c>
      <c r="C22" s="22" t="s">
        <v>3</v>
      </c>
      <c r="D22" s="18"/>
      <c r="E22" s="18"/>
      <c r="F22" s="18"/>
      <c r="G22" s="51"/>
      <c r="H22" s="52">
        <f>20*1.25</f>
        <v>25</v>
      </c>
      <c r="I22" s="30">
        <f t="shared" si="0"/>
        <v>0</v>
      </c>
      <c r="M22" s="107"/>
      <c r="N22" s="107"/>
      <c r="O22" s="107"/>
      <c r="P22" s="107"/>
      <c r="Q22" s="107"/>
    </row>
    <row r="23" spans="1:9" ht="12.75">
      <c r="A23" s="152">
        <v>21</v>
      </c>
      <c r="B23" s="2" t="s">
        <v>121</v>
      </c>
      <c r="C23" s="22" t="s">
        <v>3</v>
      </c>
      <c r="D23" s="75"/>
      <c r="E23" s="75"/>
      <c r="F23" s="75"/>
      <c r="G23" s="51"/>
      <c r="H23" s="52">
        <f>15*1.25</f>
        <v>18.75</v>
      </c>
      <c r="I23" s="30">
        <f t="shared" si="0"/>
        <v>0</v>
      </c>
    </row>
    <row r="24" spans="1:9" ht="12.75">
      <c r="A24" s="152">
        <v>23</v>
      </c>
      <c r="B24" s="2" t="s">
        <v>220</v>
      </c>
      <c r="C24" s="22" t="s">
        <v>17</v>
      </c>
      <c r="D24" s="11">
        <v>15</v>
      </c>
      <c r="E24" s="11">
        <v>8</v>
      </c>
      <c r="F24" s="75">
        <v>4</v>
      </c>
      <c r="G24" s="51">
        <v>4</v>
      </c>
      <c r="H24" s="9">
        <f>5.36*1.25</f>
        <v>6.7</v>
      </c>
      <c r="I24" s="30">
        <f t="shared" si="0"/>
        <v>207.70000000000002</v>
      </c>
    </row>
    <row r="25" spans="1:9" ht="12.75">
      <c r="A25" s="152">
        <v>25</v>
      </c>
      <c r="B25" s="2" t="s">
        <v>136</v>
      </c>
      <c r="C25" s="22" t="s">
        <v>3</v>
      </c>
      <c r="D25" s="11">
        <v>8</v>
      </c>
      <c r="E25" s="11">
        <v>4</v>
      </c>
      <c r="F25" s="75">
        <v>2</v>
      </c>
      <c r="G25" s="51">
        <v>2</v>
      </c>
      <c r="H25" s="9">
        <v>5</v>
      </c>
      <c r="I25" s="30">
        <f t="shared" si="0"/>
        <v>80</v>
      </c>
    </row>
    <row r="26" spans="1:9" ht="12.75">
      <c r="A26" s="152">
        <v>26</v>
      </c>
      <c r="B26" s="2" t="s">
        <v>218</v>
      </c>
      <c r="C26" s="22" t="s">
        <v>3</v>
      </c>
      <c r="D26" s="11">
        <v>4</v>
      </c>
      <c r="E26" s="11">
        <v>4</v>
      </c>
      <c r="F26" s="75">
        <v>2</v>
      </c>
      <c r="G26" s="51">
        <v>2</v>
      </c>
      <c r="H26" s="9">
        <f>25*1.25</f>
        <v>31.25</v>
      </c>
      <c r="I26" s="30">
        <f t="shared" si="0"/>
        <v>375</v>
      </c>
    </row>
    <row r="27" spans="1:13" ht="12.75">
      <c r="A27" s="152">
        <v>27</v>
      </c>
      <c r="B27" s="2" t="s">
        <v>128</v>
      </c>
      <c r="C27" s="22" t="s">
        <v>3</v>
      </c>
      <c r="D27" s="1">
        <v>6</v>
      </c>
      <c r="E27" s="1">
        <v>2</v>
      </c>
      <c r="F27" s="18">
        <v>2</v>
      </c>
      <c r="G27" s="51">
        <v>2</v>
      </c>
      <c r="H27" s="9">
        <v>15</v>
      </c>
      <c r="I27" s="30">
        <f t="shared" si="0"/>
        <v>180</v>
      </c>
      <c r="M27" s="13"/>
    </row>
    <row r="28" spans="1:13" s="13" customFormat="1" ht="12.75">
      <c r="A28" s="152">
        <v>30</v>
      </c>
      <c r="B28" s="2" t="s">
        <v>129</v>
      </c>
      <c r="C28" s="22" t="s">
        <v>3</v>
      </c>
      <c r="D28" s="11">
        <v>1</v>
      </c>
      <c r="E28" s="11"/>
      <c r="F28" s="75"/>
      <c r="G28" s="51"/>
      <c r="H28" s="9">
        <f>560*1.25</f>
        <v>700</v>
      </c>
      <c r="I28" s="30">
        <f t="shared" si="0"/>
        <v>700</v>
      </c>
      <c r="M28" s="107"/>
    </row>
    <row r="29" spans="1:13" ht="12.75">
      <c r="A29" s="152">
        <v>33</v>
      </c>
      <c r="B29" s="2" t="s">
        <v>219</v>
      </c>
      <c r="C29" s="22" t="s">
        <v>3</v>
      </c>
      <c r="D29" s="1">
        <v>5</v>
      </c>
      <c r="E29" s="1">
        <v>5</v>
      </c>
      <c r="F29" s="18">
        <v>3</v>
      </c>
      <c r="G29" s="51">
        <v>3</v>
      </c>
      <c r="H29" s="9">
        <f>15.9*1.25</f>
        <v>19.875</v>
      </c>
      <c r="I29" s="30">
        <f aca="true" t="shared" si="1" ref="I29:I35">(D29+E29+F29+G29)*H29</f>
        <v>318</v>
      </c>
      <c r="M29" s="13"/>
    </row>
    <row r="30" spans="1:13" s="153" customFormat="1" ht="12.75">
      <c r="A30" s="152">
        <v>34</v>
      </c>
      <c r="B30" s="2" t="s">
        <v>131</v>
      </c>
      <c r="C30" s="22" t="s">
        <v>3</v>
      </c>
      <c r="D30" s="11">
        <v>2</v>
      </c>
      <c r="E30" s="11">
        <v>1</v>
      </c>
      <c r="F30" s="75">
        <v>1</v>
      </c>
      <c r="G30" s="51">
        <v>2</v>
      </c>
      <c r="H30" s="9">
        <f>18.8*1.25</f>
        <v>23.5</v>
      </c>
      <c r="I30" s="30">
        <f t="shared" si="1"/>
        <v>141</v>
      </c>
      <c r="M30" s="107"/>
    </row>
    <row r="31" spans="1:13" s="13" customFormat="1" ht="12.75">
      <c r="A31" s="152">
        <v>35</v>
      </c>
      <c r="B31" s="2" t="s">
        <v>133</v>
      </c>
      <c r="C31" s="22" t="s">
        <v>3</v>
      </c>
      <c r="D31" s="18">
        <v>2</v>
      </c>
      <c r="E31" s="18">
        <v>1</v>
      </c>
      <c r="F31" s="18">
        <v>1</v>
      </c>
      <c r="G31" s="51">
        <v>1</v>
      </c>
      <c r="H31" s="52">
        <f>21.52*1.25</f>
        <v>26.9</v>
      </c>
      <c r="I31" s="53">
        <f t="shared" si="1"/>
        <v>134.5</v>
      </c>
      <c r="M31" s="107"/>
    </row>
    <row r="32" spans="1:9" ht="12.75">
      <c r="A32" s="152">
        <v>36</v>
      </c>
      <c r="B32" s="2" t="s">
        <v>135</v>
      </c>
      <c r="C32" s="22" t="s">
        <v>3</v>
      </c>
      <c r="D32" s="75">
        <v>5</v>
      </c>
      <c r="E32" s="75">
        <v>1</v>
      </c>
      <c r="F32" s="75">
        <v>2</v>
      </c>
      <c r="G32" s="51">
        <v>3</v>
      </c>
      <c r="H32" s="31">
        <f>40*1.25</f>
        <v>50</v>
      </c>
      <c r="I32" s="53">
        <f t="shared" si="1"/>
        <v>550</v>
      </c>
    </row>
    <row r="33" spans="1:9" ht="12.75">
      <c r="A33" s="152">
        <v>37</v>
      </c>
      <c r="B33" s="2" t="s">
        <v>134</v>
      </c>
      <c r="C33" s="22" t="s">
        <v>3</v>
      </c>
      <c r="D33" s="11">
        <v>100</v>
      </c>
      <c r="E33" s="11">
        <v>70</v>
      </c>
      <c r="F33" s="75">
        <v>50</v>
      </c>
      <c r="G33" s="51">
        <v>50</v>
      </c>
      <c r="H33" s="52">
        <f>11*1.25</f>
        <v>13.75</v>
      </c>
      <c r="I33" s="53">
        <f t="shared" si="1"/>
        <v>3712.5</v>
      </c>
    </row>
    <row r="34" spans="1:13" ht="12.75">
      <c r="A34" s="152">
        <v>38</v>
      </c>
      <c r="B34" s="2" t="s">
        <v>137</v>
      </c>
      <c r="C34" s="22" t="s">
        <v>3</v>
      </c>
      <c r="D34" s="11">
        <v>1</v>
      </c>
      <c r="E34" s="11">
        <v>1</v>
      </c>
      <c r="F34" s="75">
        <v>1</v>
      </c>
      <c r="G34" s="51">
        <v>1</v>
      </c>
      <c r="H34" s="9">
        <f>15*1.25</f>
        <v>18.75</v>
      </c>
      <c r="I34" s="53">
        <f t="shared" si="1"/>
        <v>75</v>
      </c>
      <c r="M34" s="13"/>
    </row>
    <row r="35" spans="1:13" ht="12.75">
      <c r="A35" s="152">
        <v>39</v>
      </c>
      <c r="B35" s="50" t="s">
        <v>138</v>
      </c>
      <c r="C35" s="22" t="s">
        <v>3</v>
      </c>
      <c r="D35" s="82">
        <v>4</v>
      </c>
      <c r="E35" s="82">
        <v>2</v>
      </c>
      <c r="F35" s="163">
        <v>2</v>
      </c>
      <c r="G35" s="164">
        <v>2</v>
      </c>
      <c r="H35" s="83">
        <f>15.5*1.25</f>
        <v>19.375</v>
      </c>
      <c r="I35" s="53">
        <f t="shared" si="1"/>
        <v>193.75</v>
      </c>
      <c r="M35" s="155"/>
    </row>
    <row r="36" spans="1:13" s="13" customFormat="1" ht="12.75">
      <c r="A36" s="84"/>
      <c r="B36" s="1"/>
      <c r="C36" s="22" t="s">
        <v>3</v>
      </c>
      <c r="D36" s="89"/>
      <c r="E36" s="81"/>
      <c r="F36" s="81"/>
      <c r="G36" s="90"/>
      <c r="H36" s="91"/>
      <c r="I36" s="92"/>
      <c r="M36" s="107"/>
    </row>
    <row r="37" spans="1:13" s="155" customFormat="1" ht="12.75">
      <c r="A37" s="154"/>
      <c r="B37" s="93" t="s">
        <v>61</v>
      </c>
      <c r="C37" s="85"/>
      <c r="D37" s="76"/>
      <c r="E37" s="78"/>
      <c r="F37" s="78"/>
      <c r="G37" s="86"/>
      <c r="H37" s="87"/>
      <c r="I37" s="88">
        <f>I9</f>
        <v>11845.3875</v>
      </c>
      <c r="M37" s="107"/>
    </row>
    <row r="38" spans="2:8" ht="12.75">
      <c r="B38" s="81"/>
      <c r="C38" s="61"/>
      <c r="D38" s="60"/>
      <c r="E38" s="60"/>
      <c r="F38" s="60"/>
      <c r="G38" s="62"/>
      <c r="H38" s="63"/>
    </row>
    <row r="39" spans="2:8" ht="12.75">
      <c r="B39" s="150" t="s">
        <v>59</v>
      </c>
      <c r="G39" s="107"/>
      <c r="H39" s="6" t="s">
        <v>6</v>
      </c>
    </row>
    <row r="40" spans="2:9" ht="12.75">
      <c r="B40" s="150" t="s">
        <v>58</v>
      </c>
      <c r="G40" s="107"/>
      <c r="H40" s="150" t="s">
        <v>192</v>
      </c>
      <c r="I40" s="26"/>
    </row>
    <row r="42" ht="12.75">
      <c r="B42" s="150" t="s">
        <v>60</v>
      </c>
    </row>
    <row r="43" ht="12.75">
      <c r="B43" s="150" t="s">
        <v>227</v>
      </c>
    </row>
    <row r="61" ht="12.75">
      <c r="I61" s="73"/>
    </row>
  </sheetData>
  <sheetProtection/>
  <mergeCells count="1"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7">
      <selection activeCell="J29" sqref="J29"/>
    </sheetView>
  </sheetViews>
  <sheetFormatPr defaultColWidth="9.140625" defaultRowHeight="12.75"/>
  <cols>
    <col min="1" max="1" width="34.421875" style="116" customWidth="1"/>
    <col min="2" max="2" width="6.00390625" style="42" customWidth="1"/>
    <col min="3" max="3" width="7.00390625" style="110" bestFit="1" customWidth="1"/>
    <col min="4" max="5" width="6.140625" style="110" bestFit="1" customWidth="1"/>
    <col min="6" max="6" width="6.421875" style="110" customWidth="1"/>
    <col min="7" max="7" width="6.8515625" style="110" customWidth="1"/>
    <col min="8" max="8" width="13.28125" style="111" customWidth="1"/>
    <col min="9" max="16384" width="9.140625" style="112" customWidth="1"/>
  </cols>
  <sheetData>
    <row r="1" spans="1:5" ht="12.75">
      <c r="A1" s="108" t="s">
        <v>69</v>
      </c>
      <c r="C1" s="109"/>
      <c r="D1" s="109"/>
      <c r="E1" s="109"/>
    </row>
    <row r="2" spans="1:8" ht="12.75">
      <c r="A2" s="113" t="s">
        <v>70</v>
      </c>
      <c r="C2" s="109"/>
      <c r="D2" s="109"/>
      <c r="E2" s="109"/>
      <c r="F2" s="42"/>
      <c r="G2" s="42"/>
      <c r="H2" s="114"/>
    </row>
    <row r="3" spans="1:8" ht="12.75">
      <c r="A3" s="115"/>
      <c r="F3" s="42"/>
      <c r="G3" s="42"/>
      <c r="H3" s="114"/>
    </row>
    <row r="4" spans="1:8" ht="12.75">
      <c r="A4" s="113" t="s">
        <v>191</v>
      </c>
      <c r="C4" s="109"/>
      <c r="D4" s="109"/>
      <c r="E4" s="109"/>
      <c r="F4" s="42"/>
      <c r="G4" s="42"/>
      <c r="H4" s="114"/>
    </row>
    <row r="5" spans="1:8" ht="12.75">
      <c r="A5" s="115"/>
      <c r="F5" s="42"/>
      <c r="G5" s="42"/>
      <c r="H5" s="114"/>
    </row>
    <row r="6" spans="1:8" ht="12.75">
      <c r="A6" s="179" t="s">
        <v>190</v>
      </c>
      <c r="B6" s="179"/>
      <c r="C6" s="179"/>
      <c r="D6" s="179"/>
      <c r="E6" s="179"/>
      <c r="F6" s="179"/>
      <c r="G6" s="179"/>
      <c r="H6" s="179"/>
    </row>
    <row r="7" spans="6:8" ht="12.75">
      <c r="F7" s="42"/>
      <c r="G7" s="42"/>
      <c r="H7" s="114"/>
    </row>
    <row r="8" spans="1:8" ht="38.25">
      <c r="A8" s="117" t="s">
        <v>182</v>
      </c>
      <c r="B8" s="45" t="s">
        <v>1</v>
      </c>
      <c r="C8" s="45" t="s">
        <v>63</v>
      </c>
      <c r="D8" s="45" t="s">
        <v>64</v>
      </c>
      <c r="E8" s="45" t="s">
        <v>65</v>
      </c>
      <c r="F8" s="45" t="s">
        <v>66</v>
      </c>
      <c r="G8" s="45" t="s">
        <v>67</v>
      </c>
      <c r="H8" s="118" t="s">
        <v>0</v>
      </c>
    </row>
    <row r="9" spans="1:8" ht="12.75">
      <c r="A9" s="144" t="s">
        <v>9</v>
      </c>
      <c r="B9" s="119"/>
      <c r="C9" s="120"/>
      <c r="D9" s="120"/>
      <c r="E9" s="120"/>
      <c r="F9" s="120"/>
      <c r="G9" s="120"/>
      <c r="H9" s="121">
        <f>'ŠK KUHINJA'!I9</f>
        <v>28575.5</v>
      </c>
    </row>
    <row r="10" spans="1:8" ht="12.75">
      <c r="A10" s="131" t="s">
        <v>33</v>
      </c>
      <c r="B10" s="120"/>
      <c r="C10" s="18"/>
      <c r="D10" s="18"/>
      <c r="E10" s="18"/>
      <c r="F10" s="51"/>
      <c r="G10" s="52"/>
      <c r="H10" s="122">
        <f>'ŠK KUHINJA'!I25</f>
        <v>2660</v>
      </c>
    </row>
    <row r="11" spans="1:8" ht="12.75">
      <c r="A11" s="145" t="s">
        <v>10</v>
      </c>
      <c r="B11" s="123"/>
      <c r="C11" s="124"/>
      <c r="D11" s="124"/>
      <c r="E11" s="124"/>
      <c r="F11" s="125"/>
      <c r="G11" s="52"/>
      <c r="H11" s="122">
        <f>'ŠK KUHINJA'!I30</f>
        <v>14025.75</v>
      </c>
    </row>
    <row r="12" spans="1:8" ht="12.75">
      <c r="A12" s="145" t="s">
        <v>11</v>
      </c>
      <c r="B12" s="123"/>
      <c r="C12" s="124"/>
      <c r="D12" s="124"/>
      <c r="E12" s="124"/>
      <c r="F12" s="125"/>
      <c r="G12" s="52"/>
      <c r="H12" s="122">
        <f>'ŠK KUHINJA'!I36</f>
        <v>13660.9375</v>
      </c>
    </row>
    <row r="13" spans="1:8" ht="12.75">
      <c r="A13" s="131" t="s">
        <v>12</v>
      </c>
      <c r="B13" s="123"/>
      <c r="C13" s="124"/>
      <c r="D13" s="124"/>
      <c r="E13" s="124"/>
      <c r="F13" s="125"/>
      <c r="G13" s="52"/>
      <c r="H13" s="122">
        <f>'ŠK KUHINJA'!I46</f>
        <v>3954.5</v>
      </c>
    </row>
    <row r="14" spans="1:8" ht="12.75">
      <c r="A14" s="131" t="s">
        <v>13</v>
      </c>
      <c r="B14" s="123"/>
      <c r="C14" s="124"/>
      <c r="D14" s="124"/>
      <c r="E14" s="124"/>
      <c r="F14" s="125"/>
      <c r="G14" s="52"/>
      <c r="H14" s="122">
        <f>'ŠK KUHINJA'!I52</f>
        <v>6187.4</v>
      </c>
    </row>
    <row r="15" spans="1:8" ht="12.75">
      <c r="A15" s="127" t="s">
        <v>14</v>
      </c>
      <c r="B15" s="126"/>
      <c r="C15" s="127"/>
      <c r="D15" s="127"/>
      <c r="E15" s="127"/>
      <c r="F15" s="128"/>
      <c r="G15" s="129"/>
      <c r="H15" s="130">
        <f>'ŠK KUHINJA'!I70</f>
        <v>2648.75</v>
      </c>
    </row>
    <row r="16" spans="1:8" ht="12.75">
      <c r="A16" s="131" t="s">
        <v>15</v>
      </c>
      <c r="B16" s="123"/>
      <c r="C16" s="131"/>
      <c r="D16" s="131"/>
      <c r="E16" s="131"/>
      <c r="F16" s="125"/>
      <c r="G16" s="52"/>
      <c r="H16" s="122">
        <f>'ŠK KUHINJA'!I78</f>
        <v>8170.3</v>
      </c>
    </row>
    <row r="17" spans="1:8" ht="12.75">
      <c r="A17" s="131" t="s">
        <v>179</v>
      </c>
      <c r="B17" s="123"/>
      <c r="C17" s="131"/>
      <c r="D17" s="131"/>
      <c r="E17" s="131"/>
      <c r="F17" s="125"/>
      <c r="G17" s="132"/>
      <c r="H17" s="122">
        <f>'ŠK KUHINJA'!I99</f>
        <v>12000</v>
      </c>
    </row>
    <row r="18" spans="1:8" ht="13.5" thickBot="1">
      <c r="A18" s="133" t="s">
        <v>61</v>
      </c>
      <c r="B18" s="134"/>
      <c r="C18" s="135"/>
      <c r="D18" s="135"/>
      <c r="E18" s="135"/>
      <c r="F18" s="135"/>
      <c r="G18" s="135"/>
      <c r="H18" s="136">
        <f>H16+H15+H14+H13+H12+H11+H10+H9+H17</f>
        <v>91883.1375</v>
      </c>
    </row>
    <row r="19" ht="13.5" thickTop="1"/>
    <row r="21" spans="1:8" ht="38.25">
      <c r="A21" s="117" t="s">
        <v>183</v>
      </c>
      <c r="B21" s="45" t="s">
        <v>1</v>
      </c>
      <c r="C21" s="45" t="s">
        <v>63</v>
      </c>
      <c r="D21" s="45" t="s">
        <v>64</v>
      </c>
      <c r="E21" s="45" t="s">
        <v>65</v>
      </c>
      <c r="F21" s="45" t="s">
        <v>66</v>
      </c>
      <c r="G21" s="45" t="s">
        <v>67</v>
      </c>
      <c r="H21" s="118" t="s">
        <v>0</v>
      </c>
    </row>
    <row r="22" spans="1:8" ht="25.5">
      <c r="A22" s="146" t="s">
        <v>139</v>
      </c>
      <c r="B22" s="119"/>
      <c r="C22" s="120"/>
      <c r="D22" s="120"/>
      <c r="E22" s="120"/>
      <c r="F22" s="120"/>
      <c r="G22" s="120"/>
      <c r="H22" s="121">
        <f>'UREDSKI MAT'!I9</f>
        <v>15841.55</v>
      </c>
    </row>
    <row r="23" spans="1:8" ht="12.75">
      <c r="A23" s="131" t="s">
        <v>80</v>
      </c>
      <c r="B23" s="123"/>
      <c r="C23" s="124"/>
      <c r="D23" s="124"/>
      <c r="E23" s="124"/>
      <c r="F23" s="125"/>
      <c r="G23" s="52"/>
      <c r="H23" s="122">
        <f>'UREDSKI MAT'!I37</f>
        <v>5803.725</v>
      </c>
    </row>
    <row r="24" spans="1:8" ht="12.75">
      <c r="A24" s="131" t="s">
        <v>180</v>
      </c>
      <c r="B24" s="123"/>
      <c r="C24" s="137"/>
      <c r="D24" s="131"/>
      <c r="E24" s="131"/>
      <c r="F24" s="125"/>
      <c r="G24" s="132"/>
      <c r="H24" s="122">
        <f>'UREDSKI MAT'!I49</f>
        <v>12000</v>
      </c>
    </row>
    <row r="25" spans="1:8" ht="13.5" thickBot="1">
      <c r="A25" s="139" t="s">
        <v>61</v>
      </c>
      <c r="B25" s="139"/>
      <c r="C25" s="138"/>
      <c r="D25" s="139"/>
      <c r="E25" s="139"/>
      <c r="F25" s="139"/>
      <c r="G25" s="139"/>
      <c r="H25" s="136">
        <f>H22+H23+H24</f>
        <v>33645.275</v>
      </c>
    </row>
    <row r="26" spans="1:8" ht="13.5" thickTop="1">
      <c r="A26" s="60"/>
      <c r="B26" s="61"/>
      <c r="C26" s="60"/>
      <c r="D26" s="60"/>
      <c r="E26" s="60"/>
      <c r="F26" s="62"/>
      <c r="G26" s="63"/>
      <c r="H26" s="74"/>
    </row>
    <row r="28" spans="1:8" ht="38.25">
      <c r="A28" s="48" t="s">
        <v>103</v>
      </c>
      <c r="B28" s="45" t="s">
        <v>1</v>
      </c>
      <c r="C28" s="46" t="s">
        <v>63</v>
      </c>
      <c r="D28" s="46" t="s">
        <v>64</v>
      </c>
      <c r="E28" s="46" t="s">
        <v>65</v>
      </c>
      <c r="F28" s="46" t="s">
        <v>66</v>
      </c>
      <c r="G28" s="46" t="s">
        <v>67</v>
      </c>
      <c r="H28" s="47" t="s">
        <v>0</v>
      </c>
    </row>
    <row r="29" spans="1:8" ht="12.75">
      <c r="A29" s="144" t="s">
        <v>161</v>
      </c>
      <c r="B29" s="119"/>
      <c r="C29" s="120"/>
      <c r="D29" s="120"/>
      <c r="E29" s="120"/>
      <c r="F29" s="120"/>
      <c r="G29" s="120"/>
      <c r="H29" s="121">
        <f>USLUGE!I9</f>
        <v>61355</v>
      </c>
    </row>
    <row r="30" spans="1:8" ht="12.75">
      <c r="A30" s="131" t="s">
        <v>193</v>
      </c>
      <c r="B30" s="123"/>
      <c r="C30" s="131"/>
      <c r="D30" s="131"/>
      <c r="E30" s="131"/>
      <c r="F30" s="125"/>
      <c r="G30" s="132"/>
      <c r="H30" s="122">
        <f>USLUGE!I29+USLUGE!I32</f>
        <v>22681</v>
      </c>
    </row>
    <row r="31" spans="1:8" ht="12.75">
      <c r="A31" s="180" t="s">
        <v>184</v>
      </c>
      <c r="B31" s="186"/>
      <c r="C31" s="186"/>
      <c r="D31" s="186"/>
      <c r="E31" s="186"/>
      <c r="F31" s="186"/>
      <c r="G31" s="184"/>
      <c r="H31" s="182">
        <f>USLUGE!I37</f>
        <v>313559.88</v>
      </c>
    </row>
    <row r="32" spans="1:8" ht="27.75" customHeight="1">
      <c r="A32" s="181"/>
      <c r="B32" s="187"/>
      <c r="C32" s="187"/>
      <c r="D32" s="187"/>
      <c r="E32" s="187"/>
      <c r="F32" s="187"/>
      <c r="G32" s="185"/>
      <c r="H32" s="183"/>
    </row>
    <row r="33" spans="1:8" ht="13.5" thickBot="1">
      <c r="A33" s="139" t="s">
        <v>61</v>
      </c>
      <c r="B33" s="139"/>
      <c r="C33" s="138"/>
      <c r="D33" s="139"/>
      <c r="E33" s="139"/>
      <c r="F33" s="139"/>
      <c r="G33" s="139"/>
      <c r="H33" s="136">
        <f>SUM(H29:H32)</f>
        <v>397595.88</v>
      </c>
    </row>
    <row r="34" spans="1:8" ht="13.5" thickTop="1">
      <c r="A34" s="60"/>
      <c r="B34" s="61"/>
      <c r="C34" s="60"/>
      <c r="D34" s="60"/>
      <c r="E34" s="60"/>
      <c r="F34" s="62"/>
      <c r="G34" s="63"/>
      <c r="H34" s="74"/>
    </row>
    <row r="36" spans="1:8" ht="39" customHeight="1">
      <c r="A36" s="48" t="s">
        <v>62</v>
      </c>
      <c r="B36" s="45" t="s">
        <v>1</v>
      </c>
      <c r="C36" s="46" t="s">
        <v>63</v>
      </c>
      <c r="D36" s="46" t="s">
        <v>64</v>
      </c>
      <c r="E36" s="46" t="s">
        <v>65</v>
      </c>
      <c r="F36" s="46" t="s">
        <v>66</v>
      </c>
      <c r="G36" s="46" t="s">
        <v>67</v>
      </c>
      <c r="H36" s="47" t="s">
        <v>0</v>
      </c>
    </row>
    <row r="37" spans="1:8" ht="12.75">
      <c r="A37" s="144" t="s">
        <v>127</v>
      </c>
      <c r="B37" s="119"/>
      <c r="C37" s="120"/>
      <c r="D37" s="120"/>
      <c r="E37" s="120"/>
      <c r="F37" s="120"/>
      <c r="G37" s="120"/>
      <c r="H37" s="121">
        <f>'SREDSTVA ZA ČIŠĆENJE'!I37</f>
        <v>11845.3875</v>
      </c>
    </row>
    <row r="38" spans="1:8" ht="13.5" thickBot="1">
      <c r="A38" s="139" t="s">
        <v>61</v>
      </c>
      <c r="B38" s="134"/>
      <c r="C38" s="139"/>
      <c r="D38" s="139"/>
      <c r="E38" s="139"/>
      <c r="F38" s="140"/>
      <c r="G38" s="141"/>
      <c r="H38" s="142">
        <f>H37</f>
        <v>11845.3875</v>
      </c>
    </row>
    <row r="39" spans="1:8" ht="13.5" thickTop="1">
      <c r="A39" s="60"/>
      <c r="B39" s="61"/>
      <c r="C39" s="60"/>
      <c r="D39" s="60"/>
      <c r="E39" s="60"/>
      <c r="F39" s="62"/>
      <c r="G39" s="63"/>
      <c r="H39" s="74"/>
    </row>
    <row r="40" spans="1:8" ht="12.75">
      <c r="A40" s="60"/>
      <c r="B40" s="61"/>
      <c r="C40" s="60"/>
      <c r="D40" s="60"/>
      <c r="E40" s="60"/>
      <c r="F40" s="62"/>
      <c r="G40" s="63"/>
      <c r="H40" s="74"/>
    </row>
    <row r="41" spans="1:8" ht="12.75">
      <c r="A41" s="60"/>
      <c r="B41" s="61"/>
      <c r="C41" s="60"/>
      <c r="D41" s="60"/>
      <c r="E41" s="60"/>
      <c r="F41" s="62"/>
      <c r="G41" s="63"/>
      <c r="H41" s="74"/>
    </row>
    <row r="42" spans="1:8" ht="12.75">
      <c r="A42" s="60"/>
      <c r="B42" s="61"/>
      <c r="C42" s="60"/>
      <c r="D42" s="60"/>
      <c r="E42" s="60"/>
      <c r="F42" s="62"/>
      <c r="G42" s="63"/>
      <c r="H42" s="74"/>
    </row>
    <row r="43" spans="1:8" ht="15.75">
      <c r="A43" s="143" t="s">
        <v>59</v>
      </c>
      <c r="B43" s="143" t="s">
        <v>60</v>
      </c>
      <c r="C43" s="6"/>
      <c r="D43" s="6"/>
      <c r="E43" s="6"/>
      <c r="F43" s="3"/>
      <c r="G43" s="143" t="s">
        <v>111</v>
      </c>
      <c r="H43" s="31"/>
    </row>
    <row r="44" spans="1:8" ht="12.75">
      <c r="A44" s="158" t="s">
        <v>58</v>
      </c>
      <c r="B44" s="158" t="s">
        <v>227</v>
      </c>
      <c r="C44" s="158"/>
      <c r="D44" s="158"/>
      <c r="E44" s="158"/>
      <c r="F44" s="158"/>
      <c r="G44" s="158" t="s">
        <v>192</v>
      </c>
      <c r="H44" s="158"/>
    </row>
  </sheetData>
  <sheetProtection/>
  <mergeCells count="9">
    <mergeCell ref="A6:H6"/>
    <mergeCell ref="A31:A32"/>
    <mergeCell ref="H31:H32"/>
    <mergeCell ref="G31:G32"/>
    <mergeCell ref="F31:F32"/>
    <mergeCell ref="E31:E32"/>
    <mergeCell ref="D31:D32"/>
    <mergeCell ref="C31:C32"/>
    <mergeCell ref="B31:B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Gabrijela</cp:lastModifiedBy>
  <cp:lastPrinted>2017-11-28T10:29:34Z</cp:lastPrinted>
  <dcterms:created xsi:type="dcterms:W3CDTF">2009-11-06T08:43:42Z</dcterms:created>
  <dcterms:modified xsi:type="dcterms:W3CDTF">2017-11-30T12:42:14Z</dcterms:modified>
  <cp:category/>
  <cp:version/>
  <cp:contentType/>
  <cp:contentStatus/>
</cp:coreProperties>
</file>